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24166A93-071B-3447-9D38-AA3C4EDB0DF5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ProyeccionAcueducto" sheetId="4" r:id="rId1"/>
    <sheet name="Convierte" sheetId="5" state="hidden" r:id="rId2"/>
  </sheets>
  <externalReferences>
    <externalReference r:id="rId3"/>
    <externalReference r:id="rId4"/>
  </externalReferences>
  <definedNames>
    <definedName name="Acueducto">[1]Hoja2!$A$2:$A$43</definedName>
    <definedName name="FechaInicial">[1]Hoja2!$D$2:$D$10</definedName>
    <definedName name="Màximo_Nac">'[2]Datos Entrada'!$E$26</definedName>
    <definedName name="MotivoCorte">[2]Hoja3!$D$3:$D$8</definedName>
    <definedName name="Prestador">[2]Hoja3!$A$3:$A$42</definedName>
    <definedName name="_xlnm.Print_Titles" localSheetId="0">ProyeccionAcueducto!$4:$4</definedName>
    <definedName name="Sector">'[2]Datos Entrada'!$A$11:$A$36</definedName>
    <definedName name="Vigencia">[2]Hoja3!$C$3:$C$12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4" l="1"/>
  <c r="H17" i="4" s="1"/>
  <c r="H23" i="4" s="1"/>
  <c r="H46" i="4" s="1"/>
  <c r="B46" i="4" l="1"/>
  <c r="F17" i="4"/>
  <c r="B33" i="4" l="1"/>
  <c r="B34" i="4" l="1"/>
  <c r="D33" i="4"/>
  <c r="G39" i="4" s="1"/>
  <c r="C160" i="5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D144" i="5"/>
  <c r="V155" i="5" s="1"/>
  <c r="C90" i="5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D34" i="4" l="1"/>
  <c r="G40" i="4" s="1"/>
  <c r="T154" i="5"/>
  <c r="T155" i="5" s="1"/>
  <c r="U155" i="5" s="1"/>
  <c r="F147" i="5"/>
  <c r="L150" i="5"/>
  <c r="H148" i="5"/>
  <c r="I148" i="5" s="1"/>
  <c r="J149" i="5"/>
  <c r="L152" i="5"/>
  <c r="M152" i="5" s="1"/>
  <c r="L154" i="5"/>
  <c r="M154" i="5" s="1"/>
  <c r="L151" i="5"/>
  <c r="M151" i="5" s="1"/>
  <c r="L155" i="5"/>
  <c r="M155" i="5" s="1"/>
  <c r="M150" i="5"/>
  <c r="H149" i="5"/>
  <c r="I149" i="5" s="1"/>
  <c r="L153" i="5"/>
  <c r="M153" i="5" s="1"/>
  <c r="F150" i="5"/>
  <c r="G147" i="5"/>
  <c r="W147" i="5" s="1"/>
  <c r="K149" i="5"/>
  <c r="P152" i="5"/>
  <c r="F153" i="5"/>
  <c r="U154" i="5"/>
  <c r="J155" i="5"/>
  <c r="K155" i="5" s="1"/>
  <c r="F151" i="5"/>
  <c r="N151" i="5"/>
  <c r="F154" i="5"/>
  <c r="D145" i="5"/>
  <c r="D146" i="5" s="1"/>
  <c r="D147" i="5" s="1"/>
  <c r="J152" i="5"/>
  <c r="K152" i="5" s="1"/>
  <c r="F149" i="5"/>
  <c r="J150" i="5"/>
  <c r="K150" i="5" s="1"/>
  <c r="F148" i="5"/>
  <c r="J153" i="5"/>
  <c r="K153" i="5" s="1"/>
  <c r="R153" i="5"/>
  <c r="B74" i="4"/>
  <c r="B75" i="4"/>
  <c r="B76" i="4"/>
  <c r="B73" i="4"/>
  <c r="D73" i="4" s="1"/>
  <c r="E73" i="4"/>
  <c r="H73" i="4" s="1"/>
  <c r="B32" i="4"/>
  <c r="J73" i="4" l="1"/>
  <c r="D32" i="4"/>
  <c r="G38" i="4" s="1"/>
  <c r="J154" i="5"/>
  <c r="K154" i="5" s="1"/>
  <c r="J151" i="5"/>
  <c r="K151" i="5" s="1"/>
  <c r="F155" i="5"/>
  <c r="G155" i="5" s="1"/>
  <c r="F152" i="5"/>
  <c r="G152" i="5" s="1"/>
  <c r="X147" i="5"/>
  <c r="W146" i="5"/>
  <c r="G149" i="5"/>
  <c r="W149" i="5" s="1"/>
  <c r="H150" i="5"/>
  <c r="G153" i="5"/>
  <c r="R154" i="5"/>
  <c r="S154" i="5" s="1"/>
  <c r="S153" i="5"/>
  <c r="R155" i="5"/>
  <c r="S155" i="5" s="1"/>
  <c r="P154" i="5"/>
  <c r="Q154" i="5" s="1"/>
  <c r="P153" i="5"/>
  <c r="Q153" i="5" s="1"/>
  <c r="Q152" i="5"/>
  <c r="P155" i="5"/>
  <c r="Q155" i="5" s="1"/>
  <c r="G148" i="5"/>
  <c r="W148" i="5" s="1"/>
  <c r="G154" i="5"/>
  <c r="N155" i="5"/>
  <c r="O155" i="5" s="1"/>
  <c r="O151" i="5"/>
  <c r="N154" i="5"/>
  <c r="O154" i="5" s="1"/>
  <c r="N153" i="5"/>
  <c r="O153" i="5" s="1"/>
  <c r="N152" i="5"/>
  <c r="O152" i="5" s="1"/>
  <c r="G150" i="5"/>
  <c r="G151" i="5"/>
  <c r="I73" i="4"/>
  <c r="I80" i="4" s="1"/>
  <c r="F73" i="4"/>
  <c r="H80" i="4" s="1"/>
  <c r="J80" i="4" l="1"/>
  <c r="C106" i="4" s="1"/>
  <c r="C93" i="4"/>
  <c r="Z149" i="5"/>
  <c r="X148" i="5" s="1"/>
  <c r="AA149" i="5"/>
  <c r="AB149" i="5"/>
  <c r="I150" i="5"/>
  <c r="W150" i="5" s="1"/>
  <c r="H151" i="5"/>
  <c r="Y147" i="5"/>
  <c r="E74" i="4"/>
  <c r="H74" i="4" s="1"/>
  <c r="D74" i="4"/>
  <c r="D75" i="4"/>
  <c r="D76" i="4"/>
  <c r="C57" i="4"/>
  <c r="E32" i="4"/>
  <c r="H32" i="4" s="1"/>
  <c r="J32" i="4" s="1"/>
  <c r="C46" i="4" s="1"/>
  <c r="D46" i="4" s="1"/>
  <c r="I93" i="4" l="1"/>
  <c r="X149" i="5"/>
  <c r="Y149" i="5" s="1"/>
  <c r="Y148" i="5"/>
  <c r="I151" i="5"/>
  <c r="W151" i="5" s="1"/>
  <c r="H152" i="5"/>
  <c r="D57" i="4"/>
  <c r="F57" i="4"/>
  <c r="H57" i="4" s="1"/>
  <c r="G57" i="4"/>
  <c r="G64" i="4" s="1"/>
  <c r="G83" i="4"/>
  <c r="G81" i="4"/>
  <c r="I74" i="4"/>
  <c r="I81" i="4" s="1"/>
  <c r="J74" i="4"/>
  <c r="G82" i="4"/>
  <c r="G80" i="4"/>
  <c r="F32" i="4"/>
  <c r="E33" i="4"/>
  <c r="E75" i="4"/>
  <c r="I75" i="4" s="1"/>
  <c r="I82" i="4" s="1"/>
  <c r="F74" i="4"/>
  <c r="H81" i="4" s="1"/>
  <c r="C18" i="4"/>
  <c r="C58" i="4"/>
  <c r="D17" i="4"/>
  <c r="F23" i="4" s="1"/>
  <c r="J81" i="4" l="1"/>
  <c r="I94" i="4" s="1"/>
  <c r="C94" i="4"/>
  <c r="H64" i="4"/>
  <c r="H93" i="4" s="1"/>
  <c r="J93" i="4" s="1"/>
  <c r="B93" i="4"/>
  <c r="D93" i="4" s="1"/>
  <c r="H18" i="4"/>
  <c r="B47" i="4" s="1"/>
  <c r="H33" i="4"/>
  <c r="F33" i="4"/>
  <c r="J38" i="4"/>
  <c r="I46" i="4" s="1"/>
  <c r="I152" i="5"/>
  <c r="W152" i="5" s="1"/>
  <c r="H153" i="5"/>
  <c r="F58" i="4"/>
  <c r="H58" i="4" s="1"/>
  <c r="G58" i="4"/>
  <c r="D58" i="4"/>
  <c r="F75" i="4"/>
  <c r="H82" i="4" s="1"/>
  <c r="H75" i="4"/>
  <c r="J75" i="4" s="1"/>
  <c r="F64" i="4"/>
  <c r="E76" i="4"/>
  <c r="H38" i="4"/>
  <c r="I32" i="4"/>
  <c r="I38" i="4" s="1"/>
  <c r="E34" i="4"/>
  <c r="H34" i="4" s="1"/>
  <c r="J34" i="4" s="1"/>
  <c r="C48" i="4" s="1"/>
  <c r="F18" i="4"/>
  <c r="D18" i="4"/>
  <c r="F24" i="4" s="1"/>
  <c r="C19" i="4"/>
  <c r="H19" i="4" s="1"/>
  <c r="B48" i="4" s="1"/>
  <c r="C59" i="4"/>
  <c r="G17" i="4"/>
  <c r="G23" i="4" s="1"/>
  <c r="D48" i="4" l="1"/>
  <c r="J82" i="4"/>
  <c r="I95" i="4" s="1"/>
  <c r="C95" i="4"/>
  <c r="H65" i="4"/>
  <c r="H94" i="4" s="1"/>
  <c r="J94" i="4" s="1"/>
  <c r="B94" i="4"/>
  <c r="D94" i="4" s="1"/>
  <c r="J33" i="4"/>
  <c r="H20" i="4"/>
  <c r="H24" i="4"/>
  <c r="H47" i="4" s="1"/>
  <c r="AB152" i="5"/>
  <c r="AA152" i="5"/>
  <c r="Z152" i="5"/>
  <c r="X151" i="5" s="1"/>
  <c r="I153" i="5"/>
  <c r="H154" i="5"/>
  <c r="W153" i="5"/>
  <c r="F59" i="4"/>
  <c r="H59" i="4" s="1"/>
  <c r="B95" i="4" s="1"/>
  <c r="G59" i="4"/>
  <c r="D59" i="4"/>
  <c r="H76" i="4"/>
  <c r="J76" i="4" s="1"/>
  <c r="I76" i="4"/>
  <c r="I83" i="4" s="1"/>
  <c r="F76" i="4"/>
  <c r="H83" i="4" s="1"/>
  <c r="F34" i="4"/>
  <c r="C107" i="4"/>
  <c r="E107" i="4" s="1"/>
  <c r="F19" i="4"/>
  <c r="D19" i="4"/>
  <c r="G18" i="4"/>
  <c r="F65" i="4"/>
  <c r="G65" i="4"/>
  <c r="C60" i="4"/>
  <c r="H39" i="4"/>
  <c r="D95" i="4" l="1"/>
  <c r="C108" i="4"/>
  <c r="E108" i="4" s="1"/>
  <c r="J83" i="4"/>
  <c r="C96" i="4"/>
  <c r="J35" i="4"/>
  <c r="C49" i="4" s="1"/>
  <c r="C47" i="4"/>
  <c r="D47" i="4" s="1"/>
  <c r="I33" i="4"/>
  <c r="I39" i="4" s="1"/>
  <c r="J39" i="4"/>
  <c r="I47" i="4" s="1"/>
  <c r="J47" i="4" s="1"/>
  <c r="D104" i="4" s="1"/>
  <c r="E104" i="4" s="1"/>
  <c r="I34" i="4"/>
  <c r="I40" i="4" s="1"/>
  <c r="J40" i="4"/>
  <c r="I48" i="4" s="1"/>
  <c r="I96" i="4"/>
  <c r="I97" i="4" s="1"/>
  <c r="X153" i="5"/>
  <c r="Y153" i="5" s="1"/>
  <c r="I154" i="5"/>
  <c r="W154" i="5" s="1"/>
  <c r="H155" i="5"/>
  <c r="Y151" i="5"/>
  <c r="Y152" i="5" s="1"/>
  <c r="X150" i="5"/>
  <c r="X152" i="5"/>
  <c r="J77" i="4"/>
  <c r="F60" i="4"/>
  <c r="H60" i="4" s="1"/>
  <c r="G60" i="4"/>
  <c r="D60" i="4"/>
  <c r="H40" i="4"/>
  <c r="H25" i="4"/>
  <c r="H48" i="4" s="1"/>
  <c r="B49" i="4"/>
  <c r="G24" i="4"/>
  <c r="F25" i="4"/>
  <c r="G19" i="4"/>
  <c r="H66" i="4"/>
  <c r="H95" i="4" s="1"/>
  <c r="J95" i="4" s="1"/>
  <c r="E106" i="4"/>
  <c r="F66" i="4"/>
  <c r="G66" i="4"/>
  <c r="D49" i="4" l="1"/>
  <c r="H61" i="4"/>
  <c r="B97" i="4" s="1"/>
  <c r="B96" i="4"/>
  <c r="D96" i="4" s="1"/>
  <c r="C97" i="4"/>
  <c r="H67" i="4"/>
  <c r="X154" i="5"/>
  <c r="I155" i="5"/>
  <c r="W155" i="5" s="1"/>
  <c r="G25" i="4"/>
  <c r="H49" i="4"/>
  <c r="H26" i="4"/>
  <c r="G67" i="4"/>
  <c r="F67" i="4"/>
  <c r="C109" i="4"/>
  <c r="J84" i="4"/>
  <c r="J41" i="4"/>
  <c r="D97" i="4" l="1"/>
  <c r="H96" i="4"/>
  <c r="J96" i="4" s="1"/>
  <c r="H68" i="4"/>
  <c r="Z155" i="5"/>
  <c r="X155" i="5" s="1"/>
  <c r="X156" i="5" s="1"/>
  <c r="AA155" i="5"/>
  <c r="J48" i="4"/>
  <c r="D105" i="4" s="1"/>
  <c r="E105" i="4" s="1"/>
  <c r="E109" i="4"/>
  <c r="C110" i="4"/>
  <c r="I49" i="4"/>
  <c r="J49" i="4" s="1"/>
  <c r="J46" i="4"/>
  <c r="D103" i="4" s="1"/>
  <c r="H97" i="4" l="1"/>
  <c r="J97" i="4" s="1"/>
  <c r="Y154" i="5"/>
  <c r="E144" i="5" s="1"/>
  <c r="E145" i="5" s="1"/>
  <c r="D110" i="4"/>
  <c r="E103" i="4"/>
  <c r="E110" i="4" s="1"/>
  <c r="C118" i="4" l="1"/>
  <c r="C121" i="4"/>
  <c r="C116" i="4"/>
  <c r="C120" i="4"/>
  <c r="D4" i="5"/>
  <c r="V15" i="5" l="1"/>
  <c r="D74" i="5"/>
  <c r="J9" i="5"/>
  <c r="K9" i="5" s="1"/>
  <c r="N11" i="5"/>
  <c r="N13" i="5" s="1"/>
  <c r="O13" i="5" s="1"/>
  <c r="P12" i="5"/>
  <c r="Q12" i="5" s="1"/>
  <c r="L10" i="5"/>
  <c r="L11" i="5" s="1"/>
  <c r="M11" i="5" s="1"/>
  <c r="F7" i="5"/>
  <c r="F10" i="5" s="1"/>
  <c r="G10" i="5" s="1"/>
  <c r="H8" i="5"/>
  <c r="H9" i="5" s="1"/>
  <c r="D5" i="5"/>
  <c r="D6" i="5" s="1"/>
  <c r="D7" i="5" s="1"/>
  <c r="T14" i="5"/>
  <c r="U14" i="5" s="1"/>
  <c r="R13" i="5"/>
  <c r="R14" i="5" s="1"/>
  <c r="S14" i="5" s="1"/>
  <c r="O11" i="5" l="1"/>
  <c r="N12" i="5"/>
  <c r="O12" i="5" s="1"/>
  <c r="N15" i="5"/>
  <c r="O15" i="5" s="1"/>
  <c r="J10" i="5"/>
  <c r="K10" i="5" s="1"/>
  <c r="S13" i="5"/>
  <c r="R15" i="5"/>
  <c r="S15" i="5" s="1"/>
  <c r="P15" i="5"/>
  <c r="Q15" i="5" s="1"/>
  <c r="V85" i="5"/>
  <c r="H78" i="5"/>
  <c r="P82" i="5"/>
  <c r="L80" i="5"/>
  <c r="F77" i="5"/>
  <c r="R83" i="5"/>
  <c r="D75" i="5"/>
  <c r="D76" i="5" s="1"/>
  <c r="D77" i="5" s="1"/>
  <c r="J79" i="5"/>
  <c r="N81" i="5"/>
  <c r="T84" i="5"/>
  <c r="P13" i="5"/>
  <c r="Q13" i="5" s="1"/>
  <c r="N14" i="5"/>
  <c r="O14" i="5" s="1"/>
  <c r="F11" i="5"/>
  <c r="G11" i="5" s="1"/>
  <c r="F14" i="5"/>
  <c r="G14" i="5" s="1"/>
  <c r="F8" i="5"/>
  <c r="G8" i="5" s="1"/>
  <c r="G7" i="5"/>
  <c r="W7" i="5" s="1"/>
  <c r="W6" i="5" s="1"/>
  <c r="F13" i="5"/>
  <c r="G13" i="5" s="1"/>
  <c r="F9" i="5"/>
  <c r="G9" i="5" s="1"/>
  <c r="F15" i="5"/>
  <c r="G15" i="5" s="1"/>
  <c r="F12" i="5"/>
  <c r="G12" i="5" s="1"/>
  <c r="P14" i="5"/>
  <c r="Q14" i="5" s="1"/>
  <c r="I8" i="5"/>
  <c r="L13" i="5"/>
  <c r="M13" i="5" s="1"/>
  <c r="L12" i="5"/>
  <c r="M12" i="5" s="1"/>
  <c r="M10" i="5"/>
  <c r="I9" i="5"/>
  <c r="H10" i="5"/>
  <c r="I10" i="5" s="1"/>
  <c r="T15" i="5"/>
  <c r="U15" i="5" s="1"/>
  <c r="W8" i="5" l="1"/>
  <c r="J11" i="5"/>
  <c r="K11" i="5" s="1"/>
  <c r="L14" i="5"/>
  <c r="K79" i="5"/>
  <c r="J80" i="5"/>
  <c r="K80" i="5" s="1"/>
  <c r="G77" i="5"/>
  <c r="W77" i="5" s="1"/>
  <c r="F80" i="5"/>
  <c r="F85" i="5"/>
  <c r="G85" i="5" s="1"/>
  <c r="F78" i="5"/>
  <c r="G78" i="5" s="1"/>
  <c r="F79" i="5"/>
  <c r="G79" i="5" s="1"/>
  <c r="F82" i="5"/>
  <c r="G82" i="5" s="1"/>
  <c r="F81" i="5"/>
  <c r="G81" i="5" s="1"/>
  <c r="F84" i="5"/>
  <c r="G84" i="5" s="1"/>
  <c r="F83" i="5"/>
  <c r="M80" i="5"/>
  <c r="L81" i="5"/>
  <c r="M81" i="5" s="1"/>
  <c r="Q82" i="5"/>
  <c r="P85" i="5"/>
  <c r="Q85" i="5" s="1"/>
  <c r="P84" i="5"/>
  <c r="Q84" i="5" s="1"/>
  <c r="P83" i="5"/>
  <c r="Q83" i="5" s="1"/>
  <c r="T85" i="5"/>
  <c r="U85" i="5" s="1"/>
  <c r="U84" i="5"/>
  <c r="H80" i="5"/>
  <c r="I80" i="5" s="1"/>
  <c r="H85" i="5"/>
  <c r="I85" i="5" s="1"/>
  <c r="H82" i="5"/>
  <c r="I82" i="5" s="1"/>
  <c r="I78" i="5"/>
  <c r="H83" i="5"/>
  <c r="I83" i="5" s="1"/>
  <c r="H79" i="5"/>
  <c r="I79" i="5" s="1"/>
  <c r="H84" i="5"/>
  <c r="I84" i="5" s="1"/>
  <c r="H81" i="5"/>
  <c r="I81" i="5" s="1"/>
  <c r="S83" i="5"/>
  <c r="R84" i="5"/>
  <c r="S84" i="5" s="1"/>
  <c r="R85" i="5"/>
  <c r="S85" i="5" s="1"/>
  <c r="O81" i="5"/>
  <c r="N82" i="5"/>
  <c r="O82" i="5" s="1"/>
  <c r="W9" i="5"/>
  <c r="X7" i="5"/>
  <c r="Y7" i="5" s="1"/>
  <c r="H11" i="5"/>
  <c r="I11" i="5" s="1"/>
  <c r="W10" i="5"/>
  <c r="AB9" i="5" l="1"/>
  <c r="J12" i="5"/>
  <c r="J13" i="5" s="1"/>
  <c r="W11" i="5"/>
  <c r="L82" i="5"/>
  <c r="M82" i="5" s="1"/>
  <c r="N83" i="5"/>
  <c r="M14" i="5"/>
  <c r="L15" i="5"/>
  <c r="M15" i="5" s="1"/>
  <c r="J81" i="5"/>
  <c r="G83" i="5"/>
  <c r="W76" i="5"/>
  <c r="X77" i="5"/>
  <c r="W79" i="5"/>
  <c r="W78" i="5"/>
  <c r="G80" i="5"/>
  <c r="W80" i="5" s="1"/>
  <c r="Z9" i="5"/>
  <c r="AA9" i="5"/>
  <c r="H12" i="5"/>
  <c r="I12" i="5" s="1"/>
  <c r="K12" i="5" l="1"/>
  <c r="W12" i="5" s="1"/>
  <c r="AB12" i="5" s="1"/>
  <c r="X10" i="5" s="1"/>
  <c r="L83" i="5"/>
  <c r="M83" i="5" s="1"/>
  <c r="Y8" i="5"/>
  <c r="O83" i="5"/>
  <c r="N84" i="5"/>
  <c r="AB79" i="5"/>
  <c r="X9" i="5"/>
  <c r="Y9" i="5" s="1"/>
  <c r="X8" i="5"/>
  <c r="K81" i="5"/>
  <c r="W81" i="5" s="1"/>
  <c r="J82" i="5"/>
  <c r="K13" i="5"/>
  <c r="J14" i="5"/>
  <c r="Y77" i="5"/>
  <c r="X78" i="5"/>
  <c r="Z79" i="5"/>
  <c r="X79" i="5" s="1"/>
  <c r="AA79" i="5"/>
  <c r="H13" i="5"/>
  <c r="I13" i="5" s="1"/>
  <c r="W13" i="5" l="1"/>
  <c r="L84" i="5"/>
  <c r="M84" i="5" s="1"/>
  <c r="O84" i="5"/>
  <c r="N85" i="5"/>
  <c r="O85" i="5" s="1"/>
  <c r="Z12" i="5"/>
  <c r="X11" i="5" s="1"/>
  <c r="AA12" i="5"/>
  <c r="Y79" i="5"/>
  <c r="Y78" i="5"/>
  <c r="K82" i="5"/>
  <c r="W82" i="5" s="1"/>
  <c r="AB82" i="5" s="1"/>
  <c r="J83" i="5"/>
  <c r="K14" i="5"/>
  <c r="J15" i="5"/>
  <c r="K15" i="5" s="1"/>
  <c r="H14" i="5"/>
  <c r="I14" i="5" s="1"/>
  <c r="X12" i="5" l="1"/>
  <c r="Y11" i="5"/>
  <c r="Y12" i="5" s="1"/>
  <c r="L85" i="5"/>
  <c r="M85" i="5" s="1"/>
  <c r="X80" i="5"/>
  <c r="K83" i="5"/>
  <c r="W83" i="5" s="1"/>
  <c r="J84" i="5"/>
  <c r="Z82" i="5"/>
  <c r="AA82" i="5"/>
  <c r="W14" i="5"/>
  <c r="H15" i="5"/>
  <c r="I15" i="5" s="1"/>
  <c r="W15" i="5" s="1"/>
  <c r="AA15" i="5" l="1"/>
  <c r="X13" i="5" s="1"/>
  <c r="Y13" i="5" s="1"/>
  <c r="Y81" i="5"/>
  <c r="Y82" i="5" s="1"/>
  <c r="X82" i="5"/>
  <c r="X81" i="5"/>
  <c r="K84" i="5"/>
  <c r="W84" i="5" s="1"/>
  <c r="J85" i="5"/>
  <c r="Z15" i="5"/>
  <c r="X15" i="5" s="1"/>
  <c r="X14" i="5" l="1"/>
  <c r="K85" i="5"/>
  <c r="W85" i="5" s="1"/>
  <c r="Y14" i="5"/>
  <c r="X16" i="5"/>
  <c r="E4" i="5" s="1"/>
  <c r="E5" i="5" s="1"/>
  <c r="C113" i="4" s="1"/>
  <c r="Z85" i="5" l="1"/>
  <c r="X84" i="5" s="1"/>
  <c r="AA85" i="5"/>
  <c r="X83" i="5" s="1"/>
  <c r="Y83" i="5" s="1"/>
  <c r="X85" i="5" l="1"/>
  <c r="X86" i="5" s="1"/>
  <c r="Y84" i="5"/>
  <c r="E74" i="5" l="1"/>
  <c r="E75" i="5" s="1"/>
  <c r="C1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Rozo Covaleda</author>
  </authors>
  <commentList>
    <comment ref="B16" authorId="0" shapeId="0" xr:uid="{E422B4A0-DCC0-4DF4-B15D-31EA50CC42E2}">
      <text>
        <r>
          <rPr>
            <sz val="9"/>
            <color indexed="81"/>
            <rFont val="Tahoma"/>
            <family val="2"/>
          </rPr>
          <t>Ingrese el númeo de suscriptores proyectados (Suscriptores facturados +Nuevos suscriptores esperados)</t>
        </r>
      </text>
    </comment>
    <comment ref="C31" authorId="0" shapeId="0" xr:uid="{5962163C-ACD2-43CC-A1E5-3D199276E9AF}">
      <text>
        <r>
          <rPr>
            <sz val="9"/>
            <color indexed="81"/>
            <rFont val="Tahoma"/>
            <family val="2"/>
          </rPr>
          <t>Ingrese el consumo promedio por suscriptor (m3) por estrato del suscriptor.</t>
        </r>
      </text>
    </comment>
    <comment ref="B56" authorId="0" shapeId="0" xr:uid="{1F7645A1-FF9A-439B-B66C-6CC15D5D79BD}">
      <text>
        <r>
          <rPr>
            <sz val="9"/>
            <color indexed="81"/>
            <rFont val="Tahoma"/>
            <family val="2"/>
          </rPr>
          <t>Ingrese el númeo de suscriptores proyectados (Suscriptores facturados +Nuevos suscriptores esperados)</t>
        </r>
      </text>
    </comment>
    <comment ref="C72" authorId="0" shapeId="0" xr:uid="{5D4FC6CE-0E47-4B20-8E5B-F950E5382796}">
      <text>
        <r>
          <rPr>
            <sz val="9"/>
            <color indexed="81"/>
            <rFont val="Tahoma"/>
            <family val="2"/>
          </rPr>
          <t>Ingrese el consumo promedio por suscriptor de acuerdo al estrato</t>
        </r>
      </text>
    </comment>
  </commentList>
</comments>
</file>

<file path=xl/sharedStrings.xml><?xml version="1.0" encoding="utf-8"?>
<sst xmlns="http://schemas.openxmlformats.org/spreadsheetml/2006/main" count="305" uniqueCount="147">
  <si>
    <t>NOTA . Las casillas sobradas de color Rosado son las que se diligencian.</t>
  </si>
  <si>
    <t>NOMBRE DE ACUEDUCTO</t>
  </si>
  <si>
    <t>1 - CARGOS TARIFARIOS</t>
  </si>
  <si>
    <t>Cargo Fijo</t>
  </si>
  <si>
    <t>Ingrese el valor del cargo fijo actual</t>
  </si>
  <si>
    <t>Cargo por consumo</t>
  </si>
  <si>
    <t>Ingrese el valor del cargo por consumo actual</t>
  </si>
  <si>
    <t>Variación IPC acumulado</t>
  </si>
  <si>
    <t>Ingrese el valor del IPC acumulado esperado</t>
  </si>
  <si>
    <t xml:space="preserve">2 - PROYECCIÓN DE SUBSIDIOS </t>
  </si>
  <si>
    <t>CARGO FIJO</t>
  </si>
  <si>
    <t>PROYECCIÓN SUBSIDIO MES - CARGO FIJO</t>
  </si>
  <si>
    <t>Estrato</t>
  </si>
  <si>
    <t>No. Suscriptores</t>
  </si>
  <si>
    <t>$ Cargo Fijo</t>
  </si>
  <si>
    <t>Valores Cargo Mes Fijo Facturado</t>
  </si>
  <si>
    <t>% Autorizado A Subsidiar</t>
  </si>
  <si>
    <t>Valor Subsidio Por Cargo Fijo</t>
  </si>
  <si>
    <t>Monto A Recaudar Vía Factura</t>
  </si>
  <si>
    <t>Monto a subsidiar proyectado/ Mes</t>
  </si>
  <si>
    <t>VALOR SUBSIDIOS MES CARGO FIJO</t>
  </si>
  <si>
    <t>PROYECCIÓN SUBSIDIO AÑO - CARGO FIJO</t>
  </si>
  <si>
    <t>Valor Año Cargo Fijo Facturado</t>
  </si>
  <si>
    <t>Monto a recaudar  vía factura</t>
  </si>
  <si>
    <t>Monto a subsidiar proyectado/ Año</t>
  </si>
  <si>
    <t>VALOR SUBSIDIOS AÑO CARGO FIJO</t>
  </si>
  <si>
    <t xml:space="preserve">CARGO POR CONSUMO </t>
  </si>
  <si>
    <t>PROYECCIÓN SUBSIDIO MES - CARGO POR CONSUMO</t>
  </si>
  <si>
    <t xml:space="preserve">Proyección M3 Consumidos X Suscriptor (Mes) </t>
  </si>
  <si>
    <t>Proyección M3 Subsidiado Mes Estrato</t>
  </si>
  <si>
    <t>$ Valor Metro Cúbico</t>
  </si>
  <si>
    <t>Valor Consumo Facturado/ Mes</t>
  </si>
  <si>
    <t>Valor Subsidiado Consumo Básico (m3)</t>
  </si>
  <si>
    <t>Monto a recaudar  vía factura/Mes</t>
  </si>
  <si>
    <t>Monto a subsidiar proyectado/Mes</t>
  </si>
  <si>
    <t>VALOR SUBSIDIO MES CARGO POR CONSUMO BÁSICO</t>
  </si>
  <si>
    <t>PROYECCIÓN SUBSIDIO AÑO - CARGO POR CONSUMO</t>
  </si>
  <si>
    <t xml:space="preserve">Proyección M3 consumidos al Año por estrato </t>
  </si>
  <si>
    <t>Valor Consumo Facturado / Año</t>
  </si>
  <si>
    <t xml:space="preserve">Monto a recaudar  vía factura/Año </t>
  </si>
  <si>
    <t>Monto a subsidiar proyectado/Año</t>
  </si>
  <si>
    <t>VALOR SUBSIDIO AÑO CARGO POR CONSUMO BÁSICO</t>
  </si>
  <si>
    <t>Resumen proyección de subsidios</t>
  </si>
  <si>
    <t>ESTRATO</t>
  </si>
  <si>
    <t>Monto a subsidiar por cargo fijo/Mes</t>
  </si>
  <si>
    <t>Monto a subsidiar por cargo por consumo/Mes</t>
  </si>
  <si>
    <t>TOTAL SUBSIDIOS AL MES</t>
  </si>
  <si>
    <t>Monto a subsidiar por cargo fijo/Año</t>
  </si>
  <si>
    <t>Monto a subsidiar por cargo por consumo/Año</t>
  </si>
  <si>
    <t>TOTAL SUBSIDIOS AÑO</t>
  </si>
  <si>
    <t>TOTAL MES</t>
  </si>
  <si>
    <t>TOTAL AÑO</t>
  </si>
  <si>
    <t>3 - PROYECCIÓN DE APORTES SOLIDARIOS (CONTRIBUCIONES)</t>
  </si>
  <si>
    <t>PROYECCIÓN APORTE SOLIDARIO MES</t>
  </si>
  <si>
    <t>Estrato / Uso</t>
  </si>
  <si>
    <t>% Factor Aporte</t>
  </si>
  <si>
    <t>Valor Aporte Por Cargo Fijo</t>
  </si>
  <si>
    <t>Monto aporte proyectado/ Mes</t>
  </si>
  <si>
    <t>Comercial</t>
  </si>
  <si>
    <t>Industrial</t>
  </si>
  <si>
    <t>SUBTOTAL APORTE CARGO FIJO MES</t>
  </si>
  <si>
    <t>PROYECCIÓN APORTE SOLIDARIO AÑO</t>
  </si>
  <si>
    <t xml:space="preserve">Valor Cargo Fijo Facturado/ Año </t>
  </si>
  <si>
    <t>Monto a recaudar  vía factura/ Año</t>
  </si>
  <si>
    <t>Monto aporte proyectado/ Año</t>
  </si>
  <si>
    <t>SUBTOTAL APORTE CARGO FIJO AÑO</t>
  </si>
  <si>
    <t>Proyección M3 Consumidos por Estrato/ Mes</t>
  </si>
  <si>
    <t>$ Valor Metro Cubico</t>
  </si>
  <si>
    <t>Valor Contribución Consumo Básico (m3)</t>
  </si>
  <si>
    <t>SUBTOTAL APORTE CARGO POR CONSUMO MES</t>
  </si>
  <si>
    <t>PROYECCIÓN APORTE SOLIDARIO / AÑO</t>
  </si>
  <si>
    <t>VALOR AÑO FACTURADO</t>
  </si>
  <si>
    <t>SUBTOTAL APORTE CARGO POR CONSUMO AÑO</t>
  </si>
  <si>
    <t>Resumen proyección de aportes solidarios</t>
  </si>
  <si>
    <t>Monto Contribución por cargo fijo/Mes</t>
  </si>
  <si>
    <t>Monto Contribución por cargo por consumo/Mes</t>
  </si>
  <si>
    <t>TOTAL CONTRIBUCIÓN MES</t>
  </si>
  <si>
    <t>Monto Contribución por cargo fijo/Año</t>
  </si>
  <si>
    <t>Monto Contribución por cargo por consumo/Año</t>
  </si>
  <si>
    <t>TOTAL CONTRIBUCIÓN AÑO</t>
  </si>
  <si>
    <t>4- BALANCE FONDO DE SOLIDARIDAD Y REDISTRIBUCIÓN DEL INGRESO - FSRDI</t>
  </si>
  <si>
    <t>Proyección Aportes Solidarios</t>
  </si>
  <si>
    <t>-  Proyección Subsidios</t>
  </si>
  <si>
    <t>Balance = (Contribuciones -Subsidios)</t>
  </si>
  <si>
    <t>Monto a Subsidiar año</t>
  </si>
  <si>
    <t>Monto a Subsidiar mes</t>
  </si>
  <si>
    <t>Monto Aporte Solidario año</t>
  </si>
  <si>
    <t>Monto Aporte Solidario mes</t>
  </si>
  <si>
    <t>MONEDA:</t>
  </si>
  <si>
    <t>pesos,</t>
  </si>
  <si>
    <t>AL FINAL:</t>
  </si>
  <si>
    <t>centena millones</t>
  </si>
  <si>
    <t>decena millones</t>
  </si>
  <si>
    <t>unidades millones</t>
  </si>
  <si>
    <t>centena miles</t>
  </si>
  <si>
    <t xml:space="preserve"> </t>
  </si>
  <si>
    <t>decena miles</t>
  </si>
  <si>
    <t>unidades miles</t>
  </si>
  <si>
    <t xml:space="preserve">centena </t>
  </si>
  <si>
    <t xml:space="preserve">decena </t>
  </si>
  <si>
    <t xml:space="preserve">unidades </t>
  </si>
  <si>
    <t>un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</si>
  <si>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</si>
  <si>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</si>
  <si>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</si>
  <si>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</si>
  <si>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</si>
  <si>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</si>
  <si>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</si>
  <si>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</si>
  <si>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</si>
  <si>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</si>
  <si>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</si>
  <si>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</si>
  <si>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catrorce</t>
  </si>
  <si>
    <t>quince</t>
  </si>
  <si>
    <t>dieciseis</t>
  </si>
  <si>
    <t>diecisiete</t>
  </si>
  <si>
    <t>dieciocho</t>
  </si>
  <si>
    <t>diecinueve</t>
  </si>
  <si>
    <t>veinte</t>
  </si>
  <si>
    <t>veintiun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</si>
  <si>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</si>
  <si>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</si>
  <si>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</si>
  <si>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</si>
  <si>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</si>
  <si>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</si>
  <si>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</si>
  <si>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</si>
  <si>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</si>
  <si>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cuarenta</t>
  </si>
  <si>
    <t>cincuenta</t>
  </si>
  <si>
    <t>sesenta</t>
  </si>
  <si>
    <t>setenta</t>
  </si>
  <si>
    <t>ochenta</t>
  </si>
  <si>
    <t>noventa</t>
  </si>
  <si>
    <t>cien</t>
  </si>
  <si>
    <t>doscientos</t>
  </si>
  <si>
    <t>trescientos</t>
  </si>
  <si>
    <t>cuatrocientos</t>
  </si>
  <si>
    <t>quinientos</t>
  </si>
  <si>
    <t>seiscientos</t>
  </si>
  <si>
    <t>setecientos</t>
  </si>
  <si>
    <t>ochocientos</t>
  </si>
  <si>
    <t>novecientos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</si>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</sst>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&quot;$&quot;\ #,##0_);[Red]\(&quot;$&quot;\ #,##0\)"/>
    <numFmt numFmtId="167" formatCode="[$$-240A]\ #,##0.00"/>
    <numFmt numFmtId="168" formatCode="[$$-240A]\ #,##0;[Red][$$-240A]\ #,##0"/>
    <numFmt numFmtId="169" formatCode="[$$-240A]\ #,##0"/>
  </numFmts>
  <fonts count="2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</cellStyleXfs>
  <cellXfs count="18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6" fontId="6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166" fontId="11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 vertical="center" wrapText="1"/>
    </xf>
    <xf numFmtId="0" fontId="15" fillId="0" borderId="17" xfId="2" applyBorder="1" applyProtection="1">
      <protection hidden="1"/>
    </xf>
    <xf numFmtId="0" fontId="15" fillId="0" borderId="18" xfId="2" applyBorder="1" applyProtection="1">
      <protection hidden="1"/>
    </xf>
    <xf numFmtId="0" fontId="15" fillId="0" borderId="18" xfId="2" applyBorder="1" applyProtection="1">
      <protection locked="0"/>
    </xf>
    <xf numFmtId="0" fontId="15" fillId="0" borderId="19" xfId="2" applyBorder="1" applyProtection="1">
      <protection hidden="1"/>
    </xf>
    <xf numFmtId="0" fontId="15" fillId="0" borderId="0" xfId="2" applyProtection="1">
      <protection hidden="1"/>
    </xf>
    <xf numFmtId="0" fontId="15" fillId="0" borderId="20" xfId="2" applyBorder="1" applyProtection="1">
      <protection hidden="1"/>
    </xf>
    <xf numFmtId="0" fontId="15" fillId="0" borderId="0" xfId="2" quotePrefix="1" applyProtection="1">
      <protection locked="0"/>
    </xf>
    <xf numFmtId="0" fontId="15" fillId="0" borderId="21" xfId="2" applyBorder="1" applyProtection="1">
      <protection hidden="1"/>
    </xf>
    <xf numFmtId="3" fontId="16" fillId="5" borderId="14" xfId="3" applyNumberFormat="1" applyFont="1" applyFill="1" applyBorder="1" applyAlignment="1" applyProtection="1">
      <alignment horizontal="left" indent="2"/>
      <protection locked="0"/>
    </xf>
    <xf numFmtId="165" fontId="17" fillId="0" borderId="0" xfId="2" applyNumberFormat="1" applyFont="1" applyProtection="1">
      <protection hidden="1"/>
    </xf>
    <xf numFmtId="0" fontId="17" fillId="0" borderId="0" xfId="2" applyFont="1" applyProtection="1">
      <protection hidden="1"/>
    </xf>
    <xf numFmtId="1" fontId="15" fillId="0" borderId="0" xfId="2" applyNumberFormat="1" applyProtection="1">
      <protection hidden="1"/>
    </xf>
    <xf numFmtId="0" fontId="15" fillId="7" borderId="0" xfId="2" applyFill="1" applyAlignment="1" applyProtection="1">
      <alignment horizontal="right"/>
      <protection hidden="1"/>
    </xf>
    <xf numFmtId="0" fontId="15" fillId="7" borderId="0" xfId="2" applyFill="1" applyProtection="1">
      <protection hidden="1"/>
    </xf>
    <xf numFmtId="0" fontId="15" fillId="0" borderId="0" xfId="2" applyAlignment="1" applyProtection="1">
      <alignment horizontal="left"/>
      <protection hidden="1"/>
    </xf>
    <xf numFmtId="0" fontId="15" fillId="0" borderId="22" xfId="2" applyBorder="1" applyProtection="1">
      <protection hidden="1"/>
    </xf>
    <xf numFmtId="0" fontId="15" fillId="0" borderId="23" xfId="2" applyBorder="1" applyProtection="1">
      <protection hidden="1"/>
    </xf>
    <xf numFmtId="0" fontId="15" fillId="0" borderId="15" xfId="2" applyBorder="1" applyProtection="1">
      <protection hidden="1"/>
    </xf>
    <xf numFmtId="0" fontId="15" fillId="3" borderId="17" xfId="2" applyFill="1" applyBorder="1" applyProtection="1">
      <protection hidden="1"/>
    </xf>
    <xf numFmtId="0" fontId="15" fillId="3" borderId="18" xfId="2" applyFill="1" applyBorder="1" applyProtection="1">
      <protection hidden="1"/>
    </xf>
    <xf numFmtId="0" fontId="15" fillId="3" borderId="18" xfId="2" applyFill="1" applyBorder="1" applyProtection="1">
      <protection locked="0"/>
    </xf>
    <xf numFmtId="0" fontId="15" fillId="3" borderId="19" xfId="2" applyFill="1" applyBorder="1" applyProtection="1">
      <protection hidden="1"/>
    </xf>
    <xf numFmtId="0" fontId="15" fillId="3" borderId="20" xfId="2" applyFill="1" applyBorder="1" applyProtection="1">
      <protection hidden="1"/>
    </xf>
    <xf numFmtId="0" fontId="15" fillId="3" borderId="0" xfId="2" applyFill="1" applyProtection="1">
      <protection hidden="1"/>
    </xf>
    <xf numFmtId="0" fontId="15" fillId="3" borderId="0" xfId="2" quotePrefix="1" applyFill="1" applyProtection="1">
      <protection locked="0"/>
    </xf>
    <xf numFmtId="0" fontId="15" fillId="3" borderId="21" xfId="2" applyFill="1" applyBorder="1" applyProtection="1">
      <protection hidden="1"/>
    </xf>
    <xf numFmtId="165" fontId="18" fillId="5" borderId="14" xfId="3" applyFont="1" applyFill="1" applyBorder="1" applyAlignment="1" applyProtection="1">
      <alignment horizontal="left" indent="1"/>
      <protection locked="0"/>
    </xf>
    <xf numFmtId="165" fontId="19" fillId="3" borderId="0" xfId="2" applyNumberFormat="1" applyFont="1" applyFill="1" applyProtection="1">
      <protection hidden="1"/>
    </xf>
    <xf numFmtId="0" fontId="19" fillId="3" borderId="0" xfId="2" applyFont="1" applyFill="1" applyProtection="1">
      <protection hidden="1"/>
    </xf>
    <xf numFmtId="1" fontId="15" fillId="3" borderId="0" xfId="2" applyNumberFormat="1" applyFill="1" applyProtection="1">
      <protection hidden="1"/>
    </xf>
    <xf numFmtId="0" fontId="15" fillId="3" borderId="0" xfId="2" applyFill="1" applyAlignment="1" applyProtection="1">
      <alignment horizontal="right"/>
      <protection hidden="1"/>
    </xf>
    <xf numFmtId="1" fontId="19" fillId="3" borderId="0" xfId="2" applyNumberFormat="1" applyFont="1" applyFill="1" applyProtection="1">
      <protection hidden="1"/>
    </xf>
    <xf numFmtId="0" fontId="15" fillId="3" borderId="0" xfId="2" applyFill="1" applyAlignment="1" applyProtection="1">
      <alignment horizontal="left"/>
      <protection hidden="1"/>
    </xf>
    <xf numFmtId="0" fontId="15" fillId="3" borderId="22" xfId="2" applyFill="1" applyBorder="1" applyProtection="1">
      <protection hidden="1"/>
    </xf>
    <xf numFmtId="0" fontId="15" fillId="3" borderId="23" xfId="2" applyFill="1" applyBorder="1" applyProtection="1">
      <protection hidden="1"/>
    </xf>
    <xf numFmtId="0" fontId="15" fillId="3" borderId="15" xfId="2" applyFill="1" applyBorder="1" applyProtection="1">
      <protection hidden="1"/>
    </xf>
    <xf numFmtId="0" fontId="19" fillId="0" borderId="0" xfId="2" applyFont="1" applyProtection="1">
      <protection hidden="1"/>
    </xf>
    <xf numFmtId="3" fontId="20" fillId="5" borderId="14" xfId="3" applyNumberFormat="1" applyFont="1" applyFill="1" applyBorder="1" applyAlignment="1" applyProtection="1">
      <alignment horizontal="left" indent="2"/>
      <protection locked="0"/>
    </xf>
    <xf numFmtId="165" fontId="19" fillId="0" borderId="0" xfId="2" applyNumberFormat="1" applyFont="1" applyProtection="1">
      <protection hidden="1"/>
    </xf>
    <xf numFmtId="1" fontId="19" fillId="0" borderId="0" xfId="2" applyNumberFormat="1" applyFont="1" applyProtection="1">
      <protection hidden="1"/>
    </xf>
    <xf numFmtId="168" fontId="6" fillId="3" borderId="0" xfId="0" applyNumberFormat="1" applyFont="1" applyFill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169" fontId="6" fillId="3" borderId="12" xfId="0" applyNumberFormat="1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Alignment="1">
      <alignment horizontal="center" vertical="center" wrapText="1"/>
    </xf>
    <xf numFmtId="169" fontId="6" fillId="3" borderId="9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6" fontId="8" fillId="3" borderId="13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vertical="center" wrapText="1"/>
    </xf>
    <xf numFmtId="164" fontId="6" fillId="3" borderId="0" xfId="1" applyFont="1" applyFill="1" applyBorder="1" applyAlignment="1">
      <alignment horizontal="center" vertical="center" wrapText="1"/>
    </xf>
    <xf numFmtId="168" fontId="6" fillId="4" borderId="12" xfId="0" applyNumberFormat="1" applyFont="1" applyFill="1" applyBorder="1" applyAlignment="1">
      <alignment horizontal="center" vertical="center" wrapText="1"/>
    </xf>
    <xf numFmtId="168" fontId="6" fillId="4" borderId="0" xfId="0" applyNumberFormat="1" applyFont="1" applyFill="1" applyAlignment="1">
      <alignment horizontal="center" vertical="center" wrapText="1"/>
    </xf>
    <xf numFmtId="169" fontId="6" fillId="4" borderId="0" xfId="0" applyNumberFormat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indent="2"/>
    </xf>
    <xf numFmtId="0" fontId="6" fillId="3" borderId="8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2" fillId="9" borderId="0" xfId="0" applyFont="1" applyFill="1" applyAlignment="1">
      <alignment horizontal="center" vertical="center" wrapText="1"/>
    </xf>
    <xf numFmtId="166" fontId="6" fillId="8" borderId="0" xfId="0" applyNumberFormat="1" applyFont="1" applyFill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/>
    </xf>
    <xf numFmtId="166" fontId="2" fillId="9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9" fontId="2" fillId="2" borderId="0" xfId="0" applyNumberFormat="1" applyFont="1" applyFill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169" fontId="6" fillId="3" borderId="5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22" fillId="5" borderId="29" xfId="0" applyFont="1" applyFill="1" applyBorder="1" applyAlignment="1">
      <alignment horizontal="left" vertical="center" wrapText="1" indent="1"/>
    </xf>
    <xf numFmtId="0" fontId="22" fillId="5" borderId="30" xfId="0" applyFont="1" applyFill="1" applyBorder="1" applyAlignment="1">
      <alignment horizontal="left" vertical="center" wrapText="1" indent="1"/>
    </xf>
    <xf numFmtId="0" fontId="24" fillId="5" borderId="28" xfId="0" applyFont="1" applyFill="1" applyBorder="1" applyAlignment="1">
      <alignment horizontal="left" vertical="center"/>
    </xf>
    <xf numFmtId="0" fontId="25" fillId="3" borderId="24" xfId="0" applyFont="1" applyFill="1" applyBorder="1" applyAlignment="1" applyProtection="1">
      <alignment horizontal="center" vertical="center" wrapText="1"/>
      <protection locked="0"/>
    </xf>
    <xf numFmtId="0" fontId="25" fillId="5" borderId="25" xfId="0" applyFont="1" applyFill="1" applyBorder="1" applyAlignment="1" applyProtection="1">
      <alignment horizontal="center" vertical="center" wrapText="1"/>
      <protection locked="0"/>
    </xf>
    <xf numFmtId="0" fontId="25" fillId="5" borderId="26" xfId="0" applyFont="1" applyFill="1" applyBorder="1" applyAlignment="1" applyProtection="1">
      <alignment horizontal="center" vertical="center" wrapText="1"/>
      <protection locked="0"/>
    </xf>
    <xf numFmtId="0" fontId="25" fillId="5" borderId="27" xfId="0" applyFont="1" applyFill="1" applyBorder="1" applyAlignment="1" applyProtection="1">
      <alignment horizontal="center" vertical="center" wrapText="1"/>
      <protection locked="0"/>
    </xf>
    <xf numFmtId="167" fontId="25" fillId="5" borderId="25" xfId="0" applyNumberFormat="1" applyFont="1" applyFill="1" applyBorder="1" applyAlignment="1" applyProtection="1">
      <alignment vertical="center" wrapText="1"/>
      <protection locked="0"/>
    </xf>
    <xf numFmtId="167" fontId="25" fillId="5" borderId="26" xfId="0" applyNumberFormat="1" applyFont="1" applyFill="1" applyBorder="1" applyAlignment="1" applyProtection="1">
      <alignment vertical="center" wrapText="1"/>
      <protection locked="0"/>
    </xf>
    <xf numFmtId="10" fontId="25" fillId="5" borderId="27" xfId="0" applyNumberFormat="1" applyFont="1" applyFill="1" applyBorder="1" applyAlignment="1" applyProtection="1">
      <alignment vertical="center" wrapText="1"/>
      <protection locked="0"/>
    </xf>
    <xf numFmtId="0" fontId="26" fillId="5" borderId="25" xfId="0" applyFont="1" applyFill="1" applyBorder="1" applyAlignment="1" applyProtection="1">
      <alignment horizontal="center" vertical="center"/>
      <protection locked="0"/>
    </xf>
    <xf numFmtId="0" fontId="26" fillId="5" borderId="26" xfId="0" applyFont="1" applyFill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 applyProtection="1">
      <alignment horizontal="center" vertical="center"/>
      <protection locked="0"/>
    </xf>
    <xf numFmtId="0" fontId="25" fillId="5" borderId="25" xfId="0" applyFont="1" applyFill="1" applyBorder="1" applyAlignment="1" applyProtection="1">
      <alignment horizontal="center" vertical="center"/>
      <protection locked="0"/>
    </xf>
    <xf numFmtId="0" fontId="25" fillId="5" borderId="26" xfId="0" applyFont="1" applyFill="1" applyBorder="1" applyAlignment="1" applyProtection="1">
      <alignment horizontal="center" vertical="center"/>
      <protection locked="0"/>
    </xf>
    <xf numFmtId="0" fontId="25" fillId="5" borderId="27" xfId="0" applyFont="1" applyFill="1" applyBorder="1" applyAlignment="1" applyProtection="1">
      <alignment horizontal="center" vertical="center"/>
      <protection locked="0"/>
    </xf>
    <xf numFmtId="0" fontId="2" fillId="9" borderId="1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2" applyAlignment="1" applyProtection="1">
      <alignment horizontal="left"/>
      <protection hidden="1"/>
    </xf>
    <xf numFmtId="0" fontId="15" fillId="3" borderId="0" xfId="2" applyFill="1" applyAlignment="1" applyProtection="1">
      <alignment horizontal="left"/>
      <protection hidden="1"/>
    </xf>
  </cellXfs>
  <cellStyles count="4">
    <cellStyle name="Comma [0]" xfId="1" builtinId="6"/>
    <cellStyle name="Millares 2" xfId="3" xr:uid="{7194C9D4-9941-4B58-8364-7B7FE1EFEFA7}"/>
    <cellStyle name="Normal" xfId="0" builtinId="0"/>
    <cellStyle name="Normal 2" xfId="2" xr:uid="{5F00433C-9E6D-48E2-A4DA-7F8E2E48D5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123825</xdr:rowOff>
    </xdr:from>
    <xdr:to>
      <xdr:col>3</xdr:col>
      <xdr:colOff>1076325</xdr:colOff>
      <xdr:row>11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D8F86B9-4388-41F1-A040-BE7D7AF0CDD7}"/>
            </a:ext>
          </a:extLst>
        </xdr:cNvPr>
        <xdr:cNvSpPr txBox="1">
          <a:spLocks noChangeArrowheads="1"/>
        </xdr:cNvSpPr>
      </xdr:nvSpPr>
      <xdr:spPr bwMode="auto">
        <a:xfrm>
          <a:off x="1356360" y="1312545"/>
          <a:ext cx="1076325" cy="64198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/>
  </xdr:twoCellAnchor>
  <xdr:twoCellAnchor>
    <xdr:from>
      <xdr:col>3</xdr:col>
      <xdr:colOff>552450</xdr:colOff>
      <xdr:row>4</xdr:row>
      <xdr:rowOff>95250</xdr:rowOff>
    </xdr:from>
    <xdr:to>
      <xdr:col>3</xdr:col>
      <xdr:colOff>561975</xdr:colOff>
      <xdr:row>7</xdr:row>
      <xdr:rowOff>104775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AC671B0-8B50-4782-ABD9-E9812DE8B22C}"/>
            </a:ext>
          </a:extLst>
        </xdr:cNvPr>
        <xdr:cNvSpPr>
          <a:spLocks noChangeShapeType="1"/>
        </xdr:cNvSpPr>
      </xdr:nvSpPr>
      <xdr:spPr bwMode="auto">
        <a:xfrm flipV="1">
          <a:off x="1908810" y="781050"/>
          <a:ext cx="9525" cy="512445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77</xdr:row>
      <xdr:rowOff>123825</xdr:rowOff>
    </xdr:from>
    <xdr:to>
      <xdr:col>3</xdr:col>
      <xdr:colOff>1076325</xdr:colOff>
      <xdr:row>81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295AB10-BDE9-42C5-9BD9-2617886C0EF6}"/>
            </a:ext>
          </a:extLst>
        </xdr:cNvPr>
        <xdr:cNvSpPr txBox="1">
          <a:spLocks noChangeArrowheads="1"/>
        </xdr:cNvSpPr>
      </xdr:nvSpPr>
      <xdr:spPr bwMode="auto">
        <a:xfrm>
          <a:off x="1356360" y="13085445"/>
          <a:ext cx="1076325" cy="64198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/>
  </xdr:twoCellAnchor>
  <xdr:twoCellAnchor>
    <xdr:from>
      <xdr:col>3</xdr:col>
      <xdr:colOff>552450</xdr:colOff>
      <xdr:row>74</xdr:row>
      <xdr:rowOff>95250</xdr:rowOff>
    </xdr:from>
    <xdr:to>
      <xdr:col>3</xdr:col>
      <xdr:colOff>561975</xdr:colOff>
      <xdr:row>77</xdr:row>
      <xdr:rowOff>104775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CCED4B7-7BDF-4DC2-AAF5-4A2AC1E4A764}"/>
            </a:ext>
          </a:extLst>
        </xdr:cNvPr>
        <xdr:cNvSpPr>
          <a:spLocks noChangeShapeType="1"/>
        </xdr:cNvSpPr>
      </xdr:nvSpPr>
      <xdr:spPr bwMode="auto">
        <a:xfrm flipV="1">
          <a:off x="1908810" y="12553950"/>
          <a:ext cx="9525" cy="512445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147</xdr:row>
      <xdr:rowOff>123825</xdr:rowOff>
    </xdr:from>
    <xdr:to>
      <xdr:col>3</xdr:col>
      <xdr:colOff>1076325</xdr:colOff>
      <xdr:row>151</xdr:row>
      <xdr:rowOff>95250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89FAF3A-619E-4CEC-B1AC-AC43AE6A5BF5}"/>
            </a:ext>
          </a:extLst>
        </xdr:cNvPr>
        <xdr:cNvSpPr txBox="1">
          <a:spLocks noChangeArrowheads="1"/>
        </xdr:cNvSpPr>
      </xdr:nvSpPr>
      <xdr:spPr bwMode="auto">
        <a:xfrm>
          <a:off x="1356360" y="24850725"/>
          <a:ext cx="1076325" cy="64198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/>
  </xdr:twoCellAnchor>
  <xdr:twoCellAnchor>
    <xdr:from>
      <xdr:col>3</xdr:col>
      <xdr:colOff>552450</xdr:colOff>
      <xdr:row>144</xdr:row>
      <xdr:rowOff>95250</xdr:rowOff>
    </xdr:from>
    <xdr:to>
      <xdr:col>3</xdr:col>
      <xdr:colOff>561975</xdr:colOff>
      <xdr:row>147</xdr:row>
      <xdr:rowOff>104775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9AADBFB-1109-4E7D-9D59-074BD842CCBA}"/>
            </a:ext>
          </a:extLst>
        </xdr:cNvPr>
        <xdr:cNvSpPr>
          <a:spLocks noChangeShapeType="1"/>
        </xdr:cNvSpPr>
      </xdr:nvSpPr>
      <xdr:spPr bwMode="auto">
        <a:xfrm flipV="1">
          <a:off x="1908810" y="24319230"/>
          <a:ext cx="9525" cy="512445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ela.rozo\Documents\HABITAT%20PC%2029%20mayo%202019\Apoyo%20Tarifario%20abril%202019\Revision%20Subsidios%20&amp;%20Contribuciones\Proyecci&#243;n%20FSRI%202020\ASOPORQUERA.%20Herramienta_Simulador%20Subsidios%20y%20contribucion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ownloads\Formato_Indicador%20Continuidad%2025-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Metodológica"/>
      <sheetName val="Normas"/>
      <sheetName val="InformacionConsumos"/>
      <sheetName val="ACUEDUCTO_FSRI"/>
      <sheetName val="ALCANTARILLADO_FSRI"/>
      <sheetName val="ACUEDUCTO-MinimoVital"/>
      <sheetName val="Convierte"/>
      <sheetName val="Hoja2"/>
    </sheetNames>
    <sheetDataSet>
      <sheetData sheetId="0"/>
      <sheetData sheetId="1"/>
      <sheetData sheetId="2"/>
      <sheetData sheetId="3"/>
      <sheetData sheetId="4"/>
      <sheetData sheetId="5">
        <row r="45">
          <cell r="E45">
            <v>14713057.403999999</v>
          </cell>
        </row>
      </sheetData>
      <sheetData sheetId="6"/>
      <sheetData sheetId="7">
        <row r="2">
          <cell r="A2" t="str">
            <v>ACUEDUCTO DE BRISAS DEL GOBERNADOR</v>
          </cell>
          <cell r="D2">
            <v>42856</v>
          </cell>
        </row>
        <row r="3">
          <cell r="A3" t="str">
            <v>ACUEDUCTO VEREDAL PALMAS Y RÍOS</v>
          </cell>
          <cell r="D3">
            <v>43221</v>
          </cell>
        </row>
        <row r="4">
          <cell r="A4" t="str">
            <v>ACUEDUCTO VIOLETAS</v>
          </cell>
          <cell r="D4">
            <v>43586</v>
          </cell>
        </row>
        <row r="5">
          <cell r="A5" t="str">
            <v>ASOCIACIÓN DE PROPIETARIOS DE LA PARCELACIÓN LA FLORESTA</v>
          </cell>
          <cell r="D5">
            <v>43952</v>
          </cell>
        </row>
        <row r="6">
          <cell r="A6" t="str">
            <v>ASOCIACION DE SERVICIOS PÚBLICOS COMUNITARIOS SAN ISIDRO I Y II SECTOR SAN LUIS Y  LA SUREÑA  ESP</v>
          </cell>
          <cell r="D6">
            <v>44317</v>
          </cell>
        </row>
        <row r="7">
          <cell r="A7" t="str">
            <v>ASOCIACIÓN DE USUARIOS ACUEDUCTO AGUAS CLARAS VEREDA OLARTE ESP</v>
          </cell>
          <cell r="D7">
            <v>44682</v>
          </cell>
        </row>
        <row r="8">
          <cell r="A8" t="str">
            <v>ASOCIACION DE USUARIOS DE ACUEDUCTO ARRAYANES ARGENTINA</v>
          </cell>
          <cell r="D8">
            <v>45047</v>
          </cell>
        </row>
        <row r="9">
          <cell r="A9" t="str">
            <v>ASOCIACIÓN DE USUARIOS DE ACUEDUCTO DE LA VEREDA AGUALINDA CHIGUAZA</v>
          </cell>
          <cell r="D9">
            <v>45413</v>
          </cell>
        </row>
        <row r="10">
          <cell r="A10" t="str">
            <v>ASOCIACIÓN DE USUARIOS DE ACUEDUCTO DE LA VEREDA CURUBITAL AGUAS CRISTALINAS DE BOCAGRANDE</v>
          </cell>
          <cell r="D10">
            <v>45778</v>
          </cell>
        </row>
        <row r="11">
          <cell r="A11" t="str">
            <v>ASOCIACIÓN DE USUARIOS DE ACUEDUCTO DE LA VEREDA LAS ANIMAS CON LA SIGLA ASOAGUA Y CAÑIZO ESP</v>
          </cell>
        </row>
        <row r="12">
          <cell r="A12" t="str">
            <v>ASOCIACIÓN DE USUARIOS DE ACUEDUCTO DE LA VEREDA LAS MARGARITAS DE LA LOCALIDAD DE USME SANTA DE BOGOTA D.C</v>
          </cell>
        </row>
        <row r="13">
          <cell r="A13" t="str">
            <v>ASOCIACIÓN DE USUARIOS DE ACUEDUCTO DE LA VEREDA MOCHUELO ALTO ASOPORQUERA ESP</v>
          </cell>
        </row>
        <row r="14">
          <cell r="A14" t="str">
            <v>ASOCIACIÓN DE USUARIOS DE ACUEDUCTO DE LA VEREDA QUIBA DE LA LOCALIDAD DE CIUDAD BOLÍVAR</v>
          </cell>
        </row>
        <row r="15">
          <cell r="A15" t="str">
            <v>ASOCIACIÓN DE USUARIOS DE ACUEDUCTO DE LAS VEREDAS LA UNIÓN Y LOS ANDES PICOS DE BOCA GRANDE ASOPICOS DE BOCAGRANDE ESP</v>
          </cell>
        </row>
        <row r="16">
          <cell r="A16" t="str">
            <v>ASOCIACION DE USUARIOS DE ACUEDUCTO DE LAS VEREDAS PEÑALIZA RAIZAL BETANIA Y EL CARMEN DE LA LOCALIDAD DE SUMAPAZ BOGOTA</v>
          </cell>
        </row>
        <row r="17">
          <cell r="A17" t="str">
            <v>ASOCIACIÓN DE USUARIOS DE ACUEDUCTO DE LAS VEREDAS REQUILINA Y EL UVAL AGUAS DORADAS ESP</v>
          </cell>
        </row>
        <row r="18">
          <cell r="A18" t="str">
            <v>ASOCIACION DE USUARIOS DE ACUEDUCTO DE LAS VEREDAS TAQUECITOS SANTA ROSA Y SANTA</v>
          </cell>
        </row>
        <row r="19">
          <cell r="A19" t="str">
            <v>ASOCIACIÓN DE USUARIOS DE ACUEDUCTO MANANTIAL DE AGUAS CERRO REDONDO Y CORINTO</v>
          </cell>
        </row>
        <row r="20">
          <cell r="A20" t="str">
            <v>ASOCIACIÓN DE USUARIOS DE ACUEDUCTO Y ALCANTARILLADO DE LA VEREDA PASQUILLA CENTRO</v>
          </cell>
        </row>
        <row r="21">
          <cell r="A21" t="str">
            <v>ASOCIACION DE USUARIOS DE ACUEDUCTO Y ALCANTARILLADO DEL BARRIO BOSQUES DE BELLAVISTA ACUABOSQUES</v>
          </cell>
        </row>
        <row r="22">
          <cell r="A22" t="str">
            <v>ASOCIACIÓN DE USUARIOS DE LA VEREDA LOS SOCHES AGUAS CRISTALINAS LOS SOCHES ESP</v>
          </cell>
        </row>
        <row r="23">
          <cell r="A23" t="str">
            <v>ASOCIACIÓN DE USUARIOS DEL ACUEDUCTO COMUNITARIO AGUAS CALIENTES</v>
          </cell>
        </row>
        <row r="24">
          <cell r="A24" t="str">
            <v>ASOCIACIÓN DE USUARIOS DEL ACUEDUCTO DE BOSQUES DE MÁRQUEZ</v>
          </cell>
        </row>
        <row r="25">
          <cell r="A25" t="str">
            <v>ASOCIACIÓN DE USUARIOS DEL ACUEDUCTO DE LA VEREDA LAGUNA VERDE ESP</v>
          </cell>
        </row>
        <row r="26">
          <cell r="A26" t="str">
            <v>ASOCIACIÓN DE USUARIOS DEL ACUEDUCTO DE LA ZONA MEDIA DE LA PARCELACIÓN FLORESTA DE LA SABANA ASOAGUAS FLORESTA DE LA SABANA</v>
          </cell>
        </row>
        <row r="27">
          <cell r="A27" t="str">
            <v>ASOCIACIÓN DE USUARIOS DEL ACUEDUCTO DE LAS VEREDAS DE PASQUILLITA Y SANTA ROSA</v>
          </cell>
        </row>
        <row r="28">
          <cell r="A28" t="str">
            <v>ASOCIACION DE USUARIOS DEL ACUEDUCTO DE LAS VEREDAS EL HATO, SANTA BARBARA Y LAS MERCEDES</v>
          </cell>
        </row>
        <row r="29">
          <cell r="A29" t="str">
            <v>ASOCIACIÓN DE USUARIOS DEL ACUEDUCTO DE PIEDRA PARADA</v>
          </cell>
        </row>
        <row r="30">
          <cell r="A30" t="str">
            <v>ASOCIACION DE USUARIOS DEL ACUEDUCTO LAS ANIMAS LAS AURAS Y NAZARETH</v>
          </cell>
        </row>
        <row r="31">
          <cell r="A31" t="str">
            <v>ASOCIACIÓN DE USUARIOS DEL ACUEDUCTO LAS VEGAS - LOCALIDAD SUMAPAZ</v>
          </cell>
        </row>
        <row r="32">
          <cell r="A32" t="str">
            <v>ASOCIACION DE USUARIOS DEL SERVICIO DE ACUEDUCTO Y ALCANTARILLADO DEL CORREGIMIENTO DE SAN JUAN LOCALIDAD DE SUMAPAZ ESP</v>
          </cell>
        </row>
        <row r="33">
          <cell r="A33" t="str">
            <v>ASOCIACIÓN DE USUARIOS DEL SERVICIO DE AGUA POTABLE DE LA FLORESTA DE LA SABANA - ACQUAFLORESTA</v>
          </cell>
        </row>
        <row r="34">
          <cell r="A34" t="str">
            <v>COJARDIN SA ESP</v>
          </cell>
        </row>
        <row r="35">
          <cell r="A35" t="str">
            <v>CONJUNTO RESIDENCIAL CAMPESTRE BOSQUES DE TORCA- PROPIEDAD HORIZONTAL</v>
          </cell>
        </row>
        <row r="36">
          <cell r="A36" t="str">
            <v>INFORMACIÓN DE LA SDHT RECUERDO SUR</v>
          </cell>
        </row>
        <row r="37">
          <cell r="A37" t="str">
            <v>JUNTA ADMINISTRADORA ACUEDUCTO PLAN DE SUMAPAZ</v>
          </cell>
        </row>
        <row r="38">
          <cell r="A38" t="str">
            <v>JUNTA ADMINISTRADORA ACUEDUCTO VEREDAL EL DESTINO USME</v>
          </cell>
        </row>
        <row r="39">
          <cell r="A39" t="str">
            <v>JUNTA DE ACCIÓN COMUNAL BARRIO ALTOS DE SERREZUELA</v>
          </cell>
        </row>
        <row r="40">
          <cell r="A40" t="str">
            <v>JUNTA DE ACCIÓN COMUNAL DEL VERJON ALTO</v>
          </cell>
        </row>
        <row r="41">
          <cell r="A41" t="str">
            <v>JUNTA DE ACCIÓN COMUNAL LA ESPERANZA NORORIENTAL</v>
          </cell>
        </row>
        <row r="42">
          <cell r="A42" t="str">
            <v>JUNTA DE ACCION COMUNAL VILLAS DE LA CAPILLA</v>
          </cell>
        </row>
        <row r="43">
          <cell r="A43" t="str">
            <v>LA ASOCIACIÓN DE USUARIOS DEL ACUEDUCTO TUNALES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Metodológica"/>
      <sheetName val="Datos Entrada"/>
      <sheetName val="Registro Horas de Afectación"/>
      <sheetName val="Cálculo_ ICi"/>
      <sheetName val="Hoja3"/>
      <sheetName val="Medición y Lectura-Dia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topLeftCell="A110" zoomScaleNormal="100" workbookViewId="0">
      <selection activeCell="C73" sqref="C73:C76"/>
    </sheetView>
  </sheetViews>
  <sheetFormatPr defaultColWidth="11.42578125" defaultRowHeight="12"/>
  <cols>
    <col min="1" max="1" width="11.42578125" style="4"/>
    <col min="2" max="2" width="13.42578125" style="4" customWidth="1"/>
    <col min="3" max="3" width="14.140625" style="4" customWidth="1"/>
    <col min="4" max="4" width="15.85546875" style="4" customWidth="1"/>
    <col min="5" max="5" width="13.7109375" style="4" customWidth="1"/>
    <col min="6" max="6" width="13.42578125" style="4" customWidth="1"/>
    <col min="7" max="7" width="15.42578125" style="4" customWidth="1"/>
    <col min="8" max="8" width="14.42578125" style="4" customWidth="1"/>
    <col min="9" max="9" width="15.7109375" style="4" customWidth="1"/>
    <col min="10" max="10" width="13.7109375" style="4" bestFit="1" customWidth="1"/>
    <col min="11" max="16384" width="11.42578125" style="4"/>
  </cols>
  <sheetData>
    <row r="1" spans="1:11" ht="12.9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15" customFormat="1" ht="15" thickBot="1">
      <c r="A2" s="138" t="s">
        <v>0</v>
      </c>
      <c r="B2" s="136"/>
      <c r="C2" s="136"/>
      <c r="D2" s="136"/>
      <c r="E2" s="136"/>
      <c r="F2" s="136"/>
      <c r="G2" s="136"/>
      <c r="H2" s="137"/>
      <c r="I2" s="114"/>
      <c r="J2" s="114"/>
      <c r="K2" s="114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15" customFormat="1" ht="14.1">
      <c r="A4" s="112" t="s">
        <v>1</v>
      </c>
      <c r="B4" s="113"/>
      <c r="C4" s="113"/>
      <c r="D4" s="113"/>
      <c r="E4" s="113"/>
      <c r="F4" s="113"/>
      <c r="G4" s="113"/>
      <c r="H4" s="113"/>
      <c r="I4" s="114"/>
      <c r="J4" s="114"/>
      <c r="K4" s="114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11" customFormat="1" ht="14.1">
      <c r="A6" s="111" t="s">
        <v>2</v>
      </c>
    </row>
    <row r="7" spans="1:11" ht="12.9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21" t="s">
        <v>3</v>
      </c>
      <c r="B8" s="6"/>
      <c r="C8" s="143"/>
      <c r="D8" s="44" t="s">
        <v>4</v>
      </c>
      <c r="E8" s="3"/>
      <c r="F8" s="3"/>
      <c r="G8" s="3"/>
      <c r="H8" s="3"/>
      <c r="I8" s="3"/>
      <c r="J8" s="3"/>
      <c r="K8" s="3"/>
    </row>
    <row r="9" spans="1:11">
      <c r="A9" s="122" t="s">
        <v>5</v>
      </c>
      <c r="B9" s="3"/>
      <c r="C9" s="144"/>
      <c r="D9" s="44" t="s">
        <v>6</v>
      </c>
      <c r="E9" s="3"/>
      <c r="F9" s="3"/>
      <c r="G9" s="3"/>
      <c r="H9" s="3"/>
      <c r="I9" s="3"/>
      <c r="J9" s="3"/>
      <c r="K9" s="3"/>
    </row>
    <row r="10" spans="1:11" ht="12.95" thickBot="1">
      <c r="A10" s="123" t="s">
        <v>7</v>
      </c>
      <c r="B10" s="7"/>
      <c r="C10" s="145">
        <v>5.8999999999999997E-2</v>
      </c>
      <c r="D10" s="44" t="s">
        <v>8</v>
      </c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1">
      <c r="A12" s="111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95" customHeight="1">
      <c r="A14" s="161" t="s">
        <v>10</v>
      </c>
      <c r="B14" s="167"/>
      <c r="C14" s="167"/>
      <c r="D14" s="167"/>
      <c r="E14" s="167"/>
      <c r="F14" s="167"/>
      <c r="G14" s="167"/>
      <c r="H14" s="168"/>
      <c r="I14" s="3"/>
      <c r="J14" s="3"/>
      <c r="K14" s="3"/>
    </row>
    <row r="15" spans="1:11" ht="15.95" customHeight="1" thickBot="1">
      <c r="A15" s="169" t="s">
        <v>11</v>
      </c>
      <c r="B15" s="180"/>
      <c r="C15" s="174"/>
      <c r="D15" s="174"/>
      <c r="E15" s="174"/>
      <c r="F15" s="174"/>
      <c r="G15" s="174"/>
      <c r="H15" s="181"/>
      <c r="I15" s="3"/>
      <c r="J15" s="3"/>
      <c r="K15" s="3"/>
    </row>
    <row r="16" spans="1:11" ht="27" thickBot="1">
      <c r="A16" s="117" t="s">
        <v>12</v>
      </c>
      <c r="B16" s="139" t="s">
        <v>13</v>
      </c>
      <c r="C16" s="118" t="s">
        <v>14</v>
      </c>
      <c r="D16" s="1" t="s">
        <v>15</v>
      </c>
      <c r="E16" s="1" t="s">
        <v>16</v>
      </c>
      <c r="F16" s="1" t="s">
        <v>17</v>
      </c>
      <c r="G16" s="10" t="s">
        <v>18</v>
      </c>
      <c r="H16" s="11" t="s">
        <v>19</v>
      </c>
      <c r="I16" s="12"/>
      <c r="J16" s="3"/>
      <c r="K16" s="3"/>
    </row>
    <row r="17" spans="1:11">
      <c r="A17" s="107">
        <v>1</v>
      </c>
      <c r="B17" s="140"/>
      <c r="C17" s="108">
        <f>C8*(1+C10)</f>
        <v>0</v>
      </c>
      <c r="D17" s="14">
        <f>B17*C17</f>
        <v>0</v>
      </c>
      <c r="E17" s="15">
        <v>0.7</v>
      </c>
      <c r="F17" s="14">
        <f>E17*C17</f>
        <v>0</v>
      </c>
      <c r="G17" s="16">
        <f>D17*(1-E17)</f>
        <v>0</v>
      </c>
      <c r="H17" s="17">
        <f>B17*C17*E17</f>
        <v>0</v>
      </c>
      <c r="I17" s="3"/>
      <c r="J17" s="3"/>
      <c r="K17" s="3"/>
    </row>
    <row r="18" spans="1:11">
      <c r="A18" s="107">
        <v>2</v>
      </c>
      <c r="B18" s="141"/>
      <c r="C18" s="108">
        <f>C17</f>
        <v>0</v>
      </c>
      <c r="D18" s="14">
        <f t="shared" ref="D18:D19" si="0">B18*C18</f>
        <v>0</v>
      </c>
      <c r="E18" s="15">
        <v>0.4</v>
      </c>
      <c r="F18" s="14">
        <f t="shared" ref="F18:F19" si="1">E18*C18</f>
        <v>0</v>
      </c>
      <c r="G18" s="16">
        <f t="shared" ref="G18:G19" si="2">D18*(1-E18)</f>
        <v>0</v>
      </c>
      <c r="H18" s="17">
        <f>B18*C18*E18</f>
        <v>0</v>
      </c>
      <c r="I18" s="3"/>
      <c r="J18" s="102"/>
      <c r="K18" s="3"/>
    </row>
    <row r="19" spans="1:11" ht="12.95" thickBot="1">
      <c r="A19" s="107">
        <v>3</v>
      </c>
      <c r="B19" s="142"/>
      <c r="C19" s="108">
        <f>C18</f>
        <v>0</v>
      </c>
      <c r="D19" s="14">
        <f t="shared" si="0"/>
        <v>0</v>
      </c>
      <c r="E19" s="15">
        <v>0.15</v>
      </c>
      <c r="F19" s="14">
        <f t="shared" si="1"/>
        <v>0</v>
      </c>
      <c r="G19" s="100">
        <f t="shared" si="2"/>
        <v>0</v>
      </c>
      <c r="H19" s="17">
        <f>B19*C19*E19</f>
        <v>0</v>
      </c>
      <c r="I19" s="3"/>
      <c r="J19" s="3"/>
      <c r="K19" s="3"/>
    </row>
    <row r="20" spans="1:11" ht="12" customHeight="1">
      <c r="A20" s="3"/>
      <c r="B20" s="3"/>
      <c r="C20" s="3"/>
      <c r="D20" s="3"/>
      <c r="E20" s="156" t="s">
        <v>20</v>
      </c>
      <c r="F20" s="157"/>
      <c r="G20" s="157"/>
      <c r="H20" s="20">
        <f>SUM(H17:H19)</f>
        <v>0</v>
      </c>
      <c r="I20" s="3"/>
      <c r="J20" s="3"/>
      <c r="K20" s="3"/>
    </row>
    <row r="21" spans="1:11" ht="15.95" customHeight="1">
      <c r="A21" s="3"/>
      <c r="B21" s="3"/>
      <c r="C21" s="3"/>
      <c r="D21" s="3"/>
      <c r="E21" s="154" t="s">
        <v>21</v>
      </c>
      <c r="F21" s="155"/>
      <c r="G21" s="155"/>
      <c r="H21" s="155"/>
      <c r="I21" s="3"/>
      <c r="J21" s="3"/>
      <c r="K21" s="3"/>
    </row>
    <row r="22" spans="1:11" ht="26.1">
      <c r="A22" s="3"/>
      <c r="B22" s="3"/>
      <c r="C22" s="3"/>
      <c r="D22" s="3"/>
      <c r="E22" s="1" t="s">
        <v>12</v>
      </c>
      <c r="F22" s="38" t="s">
        <v>22</v>
      </c>
      <c r="G22" s="10" t="s">
        <v>23</v>
      </c>
      <c r="H22" s="11" t="s">
        <v>24</v>
      </c>
      <c r="I22" s="3"/>
      <c r="J22" s="3"/>
      <c r="K22" s="3"/>
    </row>
    <row r="23" spans="1:11">
      <c r="A23" s="3"/>
      <c r="B23" s="3"/>
      <c r="C23" s="3"/>
      <c r="D23" s="3"/>
      <c r="E23" s="13">
        <v>1</v>
      </c>
      <c r="F23" s="36">
        <f>D17*12</f>
        <v>0</v>
      </c>
      <c r="G23" s="37">
        <f>G17*12</f>
        <v>0</v>
      </c>
      <c r="H23" s="17">
        <f>H17*12</f>
        <v>0</v>
      </c>
      <c r="I23" s="3"/>
      <c r="J23" s="3"/>
      <c r="K23" s="3"/>
    </row>
    <row r="24" spans="1:11">
      <c r="A24" s="3"/>
      <c r="B24" s="3"/>
      <c r="C24" s="3"/>
      <c r="D24" s="3"/>
      <c r="E24" s="13">
        <v>2</v>
      </c>
      <c r="F24" s="18">
        <f>D18*12</f>
        <v>0</v>
      </c>
      <c r="G24" s="19">
        <f t="shared" ref="G24:H25" si="3">G18*12</f>
        <v>0</v>
      </c>
      <c r="H24" s="17">
        <f>H18*12</f>
        <v>0</v>
      </c>
      <c r="I24" s="3"/>
      <c r="J24" s="3"/>
      <c r="K24" s="3"/>
    </row>
    <row r="25" spans="1:11">
      <c r="A25" s="3"/>
      <c r="B25" s="3"/>
      <c r="C25" s="3"/>
      <c r="D25" s="3"/>
      <c r="E25" s="13">
        <v>3</v>
      </c>
      <c r="F25" s="18">
        <f>D19*12</f>
        <v>0</v>
      </c>
      <c r="G25" s="19">
        <f t="shared" si="3"/>
        <v>0</v>
      </c>
      <c r="H25" s="17">
        <f t="shared" si="3"/>
        <v>0</v>
      </c>
      <c r="I25" s="3"/>
      <c r="J25" s="3"/>
      <c r="K25" s="3"/>
    </row>
    <row r="26" spans="1:11" ht="12" customHeight="1">
      <c r="A26" s="3"/>
      <c r="B26" s="3"/>
      <c r="C26" s="3"/>
      <c r="D26" s="3"/>
      <c r="E26" s="156" t="s">
        <v>25</v>
      </c>
      <c r="F26" s="157"/>
      <c r="G26" s="157"/>
      <c r="H26" s="45">
        <f>SUM(H23:H25)</f>
        <v>0</v>
      </c>
      <c r="I26" s="3"/>
      <c r="J26" s="3"/>
      <c r="K26" s="3"/>
    </row>
    <row r="27" spans="1:11" s="39" customFormat="1">
      <c r="A27" s="40"/>
      <c r="B27" s="40"/>
      <c r="C27" s="40"/>
      <c r="D27" s="40"/>
      <c r="E27" s="40"/>
      <c r="F27" s="40"/>
      <c r="G27" s="41"/>
      <c r="H27" s="42"/>
      <c r="I27" s="40"/>
      <c r="J27" s="40"/>
      <c r="K27" s="40"/>
    </row>
    <row r="28" spans="1:11" s="39" customFormat="1">
      <c r="A28" s="40"/>
      <c r="B28" s="40"/>
      <c r="C28" s="40"/>
      <c r="D28" s="40"/>
      <c r="E28" s="40"/>
      <c r="F28" s="40"/>
      <c r="G28" s="41"/>
      <c r="H28" s="42"/>
      <c r="I28" s="40"/>
      <c r="J28" s="40"/>
      <c r="K28" s="40"/>
    </row>
    <row r="29" spans="1:11" ht="12.75" customHeight="1">
      <c r="A29" s="161" t="s">
        <v>26</v>
      </c>
      <c r="B29" s="167"/>
      <c r="C29" s="167"/>
      <c r="D29" s="167"/>
      <c r="E29" s="167"/>
      <c r="F29" s="167"/>
      <c r="G29" s="167"/>
      <c r="H29" s="167"/>
      <c r="I29" s="167"/>
      <c r="J29" s="168"/>
      <c r="K29" s="23"/>
    </row>
    <row r="30" spans="1:11" ht="12.75" customHeight="1" thickBot="1">
      <c r="A30" s="9"/>
      <c r="B30" s="169" t="s">
        <v>27</v>
      </c>
      <c r="C30" s="170"/>
      <c r="D30" s="171"/>
      <c r="E30" s="171"/>
      <c r="F30" s="171"/>
      <c r="G30" s="171"/>
      <c r="H30" s="171"/>
      <c r="I30" s="171"/>
      <c r="J30" s="172"/>
      <c r="K30" s="23"/>
    </row>
    <row r="31" spans="1:11" ht="39.950000000000003" thickBot="1">
      <c r="A31" s="1" t="s">
        <v>12</v>
      </c>
      <c r="B31" s="117" t="s">
        <v>13</v>
      </c>
      <c r="C31" s="139" t="s">
        <v>28</v>
      </c>
      <c r="D31" s="118" t="s">
        <v>29</v>
      </c>
      <c r="E31" s="1" t="s">
        <v>30</v>
      </c>
      <c r="F31" s="1" t="s">
        <v>31</v>
      </c>
      <c r="G31" s="1" t="s">
        <v>16</v>
      </c>
      <c r="H31" s="1" t="s">
        <v>32</v>
      </c>
      <c r="I31" s="10" t="s">
        <v>33</v>
      </c>
      <c r="J31" s="11" t="s">
        <v>34</v>
      </c>
      <c r="K31" s="3"/>
    </row>
    <row r="32" spans="1:11" ht="12.75" customHeight="1">
      <c r="A32" s="13">
        <v>1</v>
      </c>
      <c r="B32" s="109">
        <f>B17</f>
        <v>0</v>
      </c>
      <c r="C32" s="149"/>
      <c r="D32" s="110">
        <f t="shared" ref="D32" si="4">IF(C32&lt;=11,C32*B32,11*B32)</f>
        <v>0</v>
      </c>
      <c r="E32" s="18">
        <f>C9*(1+C10)</f>
        <v>0</v>
      </c>
      <c r="F32" s="18">
        <f>D32*E32</f>
        <v>0</v>
      </c>
      <c r="G32" s="25">
        <v>0.7</v>
      </c>
      <c r="H32" s="46">
        <f>E32*G32</f>
        <v>0</v>
      </c>
      <c r="I32" s="16">
        <f>F32-J32</f>
        <v>0</v>
      </c>
      <c r="J32" s="17">
        <f>IF(C32&lt;=11,(C32*B32*H32),(11*B32*H32))</f>
        <v>0</v>
      </c>
    </row>
    <row r="33" spans="1:11">
      <c r="A33" s="13">
        <v>2</v>
      </c>
      <c r="B33" s="109">
        <f>B18</f>
        <v>0</v>
      </c>
      <c r="C33" s="150"/>
      <c r="D33" s="110">
        <f>IF(C33&lt;=11,C33*B33,11*B33)</f>
        <v>0</v>
      </c>
      <c r="E33" s="14">
        <f t="shared" ref="E33:E34" si="5">E32</f>
        <v>0</v>
      </c>
      <c r="F33" s="18">
        <f>D33*E33</f>
        <v>0</v>
      </c>
      <c r="G33" s="25">
        <v>0.4</v>
      </c>
      <c r="H33" s="46">
        <f t="shared" ref="H33:H34" si="6">E33*G33</f>
        <v>0</v>
      </c>
      <c r="I33" s="16">
        <f t="shared" ref="I33:I34" si="7">F33-J33</f>
        <v>0</v>
      </c>
      <c r="J33" s="17">
        <f>IF(C33&lt;=11,(C33*B33*H33),(11*B33*H33))</f>
        <v>0</v>
      </c>
    </row>
    <row r="34" spans="1:11" ht="12.95" thickBot="1">
      <c r="A34" s="13">
        <v>3</v>
      </c>
      <c r="B34" s="109">
        <f>B19</f>
        <v>0</v>
      </c>
      <c r="C34" s="151"/>
      <c r="D34" s="110">
        <f t="shared" ref="D34" si="8">IF(C34&lt;=11,C34*B34,11*B34)</f>
        <v>0</v>
      </c>
      <c r="E34" s="14">
        <f t="shared" si="5"/>
        <v>0</v>
      </c>
      <c r="F34" s="18">
        <f>D34*E34</f>
        <v>0</v>
      </c>
      <c r="G34" s="25">
        <v>0.15</v>
      </c>
      <c r="H34" s="18">
        <f t="shared" si="6"/>
        <v>0</v>
      </c>
      <c r="I34" s="16">
        <f t="shared" si="7"/>
        <v>0</v>
      </c>
      <c r="J34" s="26">
        <f>IF(C34&lt;=11,(C34*B34*H34),(11*B34*H34))</f>
        <v>0</v>
      </c>
    </row>
    <row r="35" spans="1:11" ht="14.45" customHeight="1">
      <c r="A35" s="3"/>
      <c r="B35" s="3"/>
      <c r="C35" s="3"/>
      <c r="D35" s="3"/>
      <c r="E35" s="3"/>
      <c r="F35" s="175" t="s">
        <v>35</v>
      </c>
      <c r="G35" s="176"/>
      <c r="H35" s="176"/>
      <c r="I35" s="176"/>
      <c r="J35" s="101">
        <f>SUM(J32:J34)</f>
        <v>0</v>
      </c>
      <c r="K35" s="3"/>
    </row>
    <row r="36" spans="1:11" ht="12" customHeight="1">
      <c r="A36" s="3"/>
      <c r="B36" s="3"/>
      <c r="C36" s="3"/>
      <c r="D36" s="3"/>
      <c r="E36" s="3"/>
      <c r="F36" s="158" t="s">
        <v>36</v>
      </c>
      <c r="G36" s="159"/>
      <c r="H36" s="159"/>
      <c r="I36" s="159"/>
      <c r="J36" s="160"/>
      <c r="K36" s="8"/>
    </row>
    <row r="37" spans="1:11" ht="45.75" customHeight="1">
      <c r="A37" s="3"/>
      <c r="B37" s="3"/>
      <c r="C37" s="103"/>
      <c r="D37" s="103"/>
      <c r="E37" s="3"/>
      <c r="F37" s="1" t="s">
        <v>12</v>
      </c>
      <c r="G37" s="38" t="s">
        <v>37</v>
      </c>
      <c r="H37" s="38" t="s">
        <v>38</v>
      </c>
      <c r="I37" s="10" t="s">
        <v>39</v>
      </c>
      <c r="J37" s="11" t="s">
        <v>40</v>
      </c>
      <c r="K37" s="3"/>
    </row>
    <row r="38" spans="1:11">
      <c r="A38" s="3"/>
      <c r="B38" s="3"/>
      <c r="C38" s="3"/>
      <c r="D38" s="3"/>
      <c r="E38" s="3"/>
      <c r="F38" s="13">
        <v>1</v>
      </c>
      <c r="G38" s="24">
        <f>D32*12</f>
        <v>0</v>
      </c>
      <c r="H38" s="18">
        <f>F32*12</f>
        <v>0</v>
      </c>
      <c r="I38" s="28">
        <f>I32*12</f>
        <v>0</v>
      </c>
      <c r="J38" s="17">
        <f>J32*12</f>
        <v>0</v>
      </c>
      <c r="K38" s="3"/>
    </row>
    <row r="39" spans="1:11">
      <c r="A39" s="3"/>
      <c r="B39" s="3"/>
      <c r="C39" s="3"/>
      <c r="D39" s="3"/>
      <c r="E39" s="3"/>
      <c r="F39" s="13">
        <v>2</v>
      </c>
      <c r="G39" s="24">
        <f>D33*12</f>
        <v>0</v>
      </c>
      <c r="H39" s="18">
        <f>F33*12</f>
        <v>0</v>
      </c>
      <c r="I39" s="28">
        <f t="shared" ref="I39:J39" si="9">I33*12</f>
        <v>0</v>
      </c>
      <c r="J39" s="17">
        <f t="shared" si="9"/>
        <v>0</v>
      </c>
      <c r="K39" s="3"/>
    </row>
    <row r="40" spans="1:11">
      <c r="A40" s="3"/>
      <c r="B40" s="3"/>
      <c r="C40" s="3"/>
      <c r="D40" s="3"/>
      <c r="E40" s="3"/>
      <c r="F40" s="13">
        <v>3</v>
      </c>
      <c r="G40" s="24">
        <f>D34*12</f>
        <v>0</v>
      </c>
      <c r="H40" s="18">
        <f>F34*12</f>
        <v>0</v>
      </c>
      <c r="I40" s="28">
        <f t="shared" ref="I40:J40" si="10">I34*12</f>
        <v>0</v>
      </c>
      <c r="J40" s="26">
        <f t="shared" si="10"/>
        <v>0</v>
      </c>
      <c r="K40" s="3"/>
    </row>
    <row r="41" spans="1:11" ht="15">
      <c r="A41" s="3"/>
      <c r="B41" s="3"/>
      <c r="C41" s="3"/>
      <c r="D41" s="3"/>
      <c r="E41" s="3"/>
      <c r="F41" s="175" t="s">
        <v>41</v>
      </c>
      <c r="G41" s="176"/>
      <c r="H41" s="176"/>
      <c r="I41" s="176"/>
      <c r="J41" s="45">
        <f>SUM(J38:J40)</f>
        <v>0</v>
      </c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116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16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39">
      <c r="A45" s="124" t="s">
        <v>43</v>
      </c>
      <c r="B45" s="124" t="s">
        <v>44</v>
      </c>
      <c r="C45" s="124" t="s">
        <v>45</v>
      </c>
      <c r="D45" s="124" t="s">
        <v>46</v>
      </c>
      <c r="E45" s="3"/>
      <c r="F45" s="3"/>
      <c r="G45" s="27" t="s">
        <v>43</v>
      </c>
      <c r="H45" s="27" t="s">
        <v>47</v>
      </c>
      <c r="I45" s="27" t="s">
        <v>48</v>
      </c>
      <c r="J45" s="27" t="s">
        <v>49</v>
      </c>
      <c r="K45" s="3"/>
    </row>
    <row r="46" spans="1:11">
      <c r="A46" s="8">
        <v>1</v>
      </c>
      <c r="B46" s="31">
        <f t="shared" ref="B46:B48" si="11">H17</f>
        <v>0</v>
      </c>
      <c r="C46" s="31">
        <f t="shared" ref="C46:C48" si="12">J32</f>
        <v>0</v>
      </c>
      <c r="D46" s="125">
        <f t="shared" ref="D46:D48" si="13">SUM(B46:C46)</f>
        <v>0</v>
      </c>
      <c r="E46" s="3"/>
      <c r="F46" s="3"/>
      <c r="G46" s="8">
        <v>1</v>
      </c>
      <c r="H46" s="31">
        <f>H23</f>
        <v>0</v>
      </c>
      <c r="I46" s="31">
        <f>J38</f>
        <v>0</v>
      </c>
      <c r="J46" s="125">
        <f>SUM(H46:I46)</f>
        <v>0</v>
      </c>
      <c r="K46" s="3"/>
    </row>
    <row r="47" spans="1:11">
      <c r="A47" s="8">
        <v>2</v>
      </c>
      <c r="B47" s="31">
        <f t="shared" si="11"/>
        <v>0</v>
      </c>
      <c r="C47" s="31">
        <f t="shared" si="12"/>
        <v>0</v>
      </c>
      <c r="D47" s="125">
        <f t="shared" si="13"/>
        <v>0</v>
      </c>
      <c r="E47" s="3"/>
      <c r="F47" s="3"/>
      <c r="G47" s="8">
        <v>2</v>
      </c>
      <c r="H47" s="31">
        <f>H24</f>
        <v>0</v>
      </c>
      <c r="I47" s="31">
        <f>J39</f>
        <v>0</v>
      </c>
      <c r="J47" s="125">
        <f>SUM(H47:I47)</f>
        <v>0</v>
      </c>
      <c r="K47" s="3"/>
    </row>
    <row r="48" spans="1:11">
      <c r="A48" s="8">
        <v>3</v>
      </c>
      <c r="B48" s="126">
        <f t="shared" si="11"/>
        <v>0</v>
      </c>
      <c r="C48" s="126">
        <f t="shared" si="12"/>
        <v>0</v>
      </c>
      <c r="D48" s="125">
        <f t="shared" si="13"/>
        <v>0</v>
      </c>
      <c r="E48" s="3"/>
      <c r="F48" s="3"/>
      <c r="G48" s="8">
        <v>3</v>
      </c>
      <c r="H48" s="126">
        <f>H25</f>
        <v>0</v>
      </c>
      <c r="I48" s="126">
        <f>J40</f>
        <v>0</v>
      </c>
      <c r="J48" s="125">
        <f>SUM(H48:I48)</f>
        <v>0</v>
      </c>
      <c r="K48" s="3"/>
    </row>
    <row r="49" spans="1:11" ht="12.95">
      <c r="A49" s="124" t="s">
        <v>50</v>
      </c>
      <c r="B49" s="127">
        <f>H20</f>
        <v>0</v>
      </c>
      <c r="C49" s="127">
        <f>J35</f>
        <v>0</v>
      </c>
      <c r="D49" s="127">
        <f>SUM(B49:C49)</f>
        <v>0</v>
      </c>
      <c r="E49" s="3"/>
      <c r="F49" s="3"/>
      <c r="G49" s="27" t="s">
        <v>51</v>
      </c>
      <c r="H49" s="128">
        <f>SUM(H46:H48)</f>
        <v>0</v>
      </c>
      <c r="I49" s="128">
        <f>SUM(I46:I48)</f>
        <v>0</v>
      </c>
      <c r="J49" s="128">
        <f>SUM(H49:I49)</f>
        <v>0</v>
      </c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1">
      <c r="A52" s="111" t="s">
        <v>52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177" t="s">
        <v>10</v>
      </c>
      <c r="B54" s="178"/>
      <c r="C54" s="178"/>
      <c r="D54" s="178"/>
      <c r="E54" s="178"/>
      <c r="F54" s="178"/>
      <c r="G54" s="178"/>
      <c r="H54" s="179"/>
      <c r="I54" s="3"/>
      <c r="J54" s="3"/>
    </row>
    <row r="55" spans="1:11" ht="13.35" customHeight="1" thickBot="1">
      <c r="A55" s="9"/>
      <c r="B55" s="173" t="s">
        <v>53</v>
      </c>
      <c r="C55" s="171"/>
      <c r="D55" s="171"/>
      <c r="E55" s="171"/>
      <c r="F55" s="171"/>
      <c r="G55" s="171"/>
      <c r="H55" s="172"/>
      <c r="I55" s="3"/>
      <c r="J55" s="3"/>
    </row>
    <row r="56" spans="1:11" ht="27" thickBot="1">
      <c r="A56" s="34" t="s">
        <v>54</v>
      </c>
      <c r="B56" s="139" t="s">
        <v>13</v>
      </c>
      <c r="C56" s="34" t="s">
        <v>14</v>
      </c>
      <c r="D56" s="34" t="s">
        <v>15</v>
      </c>
      <c r="E56" s="34" t="s">
        <v>55</v>
      </c>
      <c r="F56" s="34" t="s">
        <v>56</v>
      </c>
      <c r="G56" s="35" t="s">
        <v>23</v>
      </c>
      <c r="H56" s="47" t="s">
        <v>57</v>
      </c>
      <c r="I56" s="12"/>
      <c r="J56" s="3"/>
    </row>
    <row r="57" spans="1:11">
      <c r="A57" s="107">
        <v>5</v>
      </c>
      <c r="B57" s="140"/>
      <c r="C57" s="108">
        <f>C17</f>
        <v>0</v>
      </c>
      <c r="D57" s="14">
        <f>B57*C57*(1+E57)</f>
        <v>0</v>
      </c>
      <c r="E57" s="15">
        <v>1.24</v>
      </c>
      <c r="F57" s="14">
        <f>C57*E57</f>
        <v>0</v>
      </c>
      <c r="G57" s="16">
        <f>B57*C57</f>
        <v>0</v>
      </c>
      <c r="H57" s="17">
        <f>B57*F57</f>
        <v>0</v>
      </c>
      <c r="I57" s="22"/>
      <c r="J57" s="3"/>
    </row>
    <row r="58" spans="1:11">
      <c r="A58" s="107">
        <v>6</v>
      </c>
      <c r="B58" s="141"/>
      <c r="C58" s="108">
        <f>C57</f>
        <v>0</v>
      </c>
      <c r="D58" s="14">
        <f t="shared" ref="D58:D60" si="14">B58*C58*(1+E58)</f>
        <v>0</v>
      </c>
      <c r="E58" s="15">
        <v>1.74</v>
      </c>
      <c r="F58" s="14">
        <f t="shared" ref="F58:F60" si="15">C58*E58</f>
        <v>0</v>
      </c>
      <c r="G58" s="16">
        <f t="shared" ref="G58:G60" si="16">B58*C58</f>
        <v>0</v>
      </c>
      <c r="H58" s="17">
        <f t="shared" ref="H58:H60" si="17">B58*F58</f>
        <v>0</v>
      </c>
      <c r="I58" s="3"/>
      <c r="J58" s="3"/>
    </row>
    <row r="59" spans="1:11" ht="12.95">
      <c r="A59" s="107" t="s">
        <v>58</v>
      </c>
      <c r="B59" s="141"/>
      <c r="C59" s="108">
        <f>C58</f>
        <v>0</v>
      </c>
      <c r="D59" s="14">
        <f t="shared" si="14"/>
        <v>0</v>
      </c>
      <c r="E59" s="15">
        <v>0.5</v>
      </c>
      <c r="F59" s="14">
        <f t="shared" si="15"/>
        <v>0</v>
      </c>
      <c r="G59" s="16">
        <f t="shared" si="16"/>
        <v>0</v>
      </c>
      <c r="H59" s="17">
        <f t="shared" si="17"/>
        <v>0</v>
      </c>
      <c r="I59" s="3"/>
      <c r="J59" s="3"/>
    </row>
    <row r="60" spans="1:11" ht="14.1" thickBot="1">
      <c r="A60" s="107" t="s">
        <v>59</v>
      </c>
      <c r="B60" s="142"/>
      <c r="C60" s="108">
        <f>C59</f>
        <v>0</v>
      </c>
      <c r="D60" s="14">
        <f t="shared" si="14"/>
        <v>0</v>
      </c>
      <c r="E60" s="15">
        <v>0.3</v>
      </c>
      <c r="F60" s="14">
        <f t="shared" si="15"/>
        <v>0</v>
      </c>
      <c r="G60" s="16">
        <f t="shared" si="16"/>
        <v>0</v>
      </c>
      <c r="H60" s="17">
        <f t="shared" si="17"/>
        <v>0</v>
      </c>
      <c r="I60" s="3"/>
      <c r="J60" s="3"/>
    </row>
    <row r="61" spans="1:11" ht="12" customHeight="1">
      <c r="B61" s="8"/>
      <c r="C61" s="8"/>
      <c r="D61" s="8"/>
      <c r="E61" s="164" t="s">
        <v>60</v>
      </c>
      <c r="F61" s="165"/>
      <c r="G61" s="166"/>
      <c r="H61" s="20">
        <f>SUM(H57:H60)</f>
        <v>0</v>
      </c>
      <c r="I61" s="22"/>
      <c r="J61" s="3"/>
    </row>
    <row r="62" spans="1:11" s="48" customFormat="1" ht="14.45" customHeight="1">
      <c r="A62" s="3"/>
      <c r="B62" s="3"/>
      <c r="C62" s="3"/>
      <c r="D62" s="3"/>
      <c r="E62" s="158" t="s">
        <v>61</v>
      </c>
      <c r="F62" s="159"/>
      <c r="G62" s="159"/>
      <c r="H62" s="160"/>
      <c r="I62" s="43"/>
      <c r="J62" s="43"/>
    </row>
    <row r="63" spans="1:11" ht="26.1">
      <c r="A63" s="3"/>
      <c r="B63" s="3"/>
      <c r="C63" s="3"/>
      <c r="D63" s="3"/>
      <c r="E63" s="34" t="s">
        <v>12</v>
      </c>
      <c r="F63" s="34" t="s">
        <v>62</v>
      </c>
      <c r="G63" s="35" t="s">
        <v>63</v>
      </c>
      <c r="H63" s="47" t="s">
        <v>64</v>
      </c>
      <c r="I63" s="3"/>
      <c r="J63" s="3"/>
    </row>
    <row r="64" spans="1:11">
      <c r="A64" s="3"/>
      <c r="B64" s="3"/>
      <c r="C64" s="3"/>
      <c r="D64" s="3"/>
      <c r="E64" s="13">
        <v>5</v>
      </c>
      <c r="F64" s="18">
        <f>D57*12</f>
        <v>0</v>
      </c>
      <c r="G64" s="19">
        <f t="shared" ref="G64:H67" si="18">G57*12</f>
        <v>0</v>
      </c>
      <c r="H64" s="17">
        <f t="shared" si="18"/>
        <v>0</v>
      </c>
      <c r="I64" s="3"/>
      <c r="J64" s="3"/>
    </row>
    <row r="65" spans="1:11">
      <c r="A65" s="3"/>
      <c r="B65" s="3"/>
      <c r="C65" s="3"/>
      <c r="D65" s="3"/>
      <c r="E65" s="13">
        <v>6</v>
      </c>
      <c r="F65" s="18">
        <f>D58*12</f>
        <v>0</v>
      </c>
      <c r="G65" s="19">
        <f t="shared" si="18"/>
        <v>0</v>
      </c>
      <c r="H65" s="17">
        <f t="shared" si="18"/>
        <v>0</v>
      </c>
      <c r="I65" s="3"/>
      <c r="J65" s="3"/>
    </row>
    <row r="66" spans="1:11" ht="12.95">
      <c r="A66" s="3"/>
      <c r="B66" s="3"/>
      <c r="C66" s="3"/>
      <c r="D66" s="3"/>
      <c r="E66" s="13" t="s">
        <v>58</v>
      </c>
      <c r="F66" s="18">
        <f>D59*12</f>
        <v>0</v>
      </c>
      <c r="G66" s="19">
        <f t="shared" si="18"/>
        <v>0</v>
      </c>
      <c r="H66" s="17">
        <f t="shared" si="18"/>
        <v>0</v>
      </c>
      <c r="I66" s="3"/>
      <c r="J66" s="3"/>
      <c r="K66" s="32"/>
    </row>
    <row r="67" spans="1:11" ht="12.95">
      <c r="A67" s="3"/>
      <c r="B67" s="3"/>
      <c r="C67" s="3"/>
      <c r="D67" s="3"/>
      <c r="E67" s="13" t="s">
        <v>59</v>
      </c>
      <c r="F67" s="18">
        <f>D60*12</f>
        <v>0</v>
      </c>
      <c r="G67" s="19">
        <f t="shared" si="18"/>
        <v>0</v>
      </c>
      <c r="H67" s="17">
        <f t="shared" si="18"/>
        <v>0</v>
      </c>
      <c r="I67" s="3"/>
      <c r="J67" s="3"/>
    </row>
    <row r="68" spans="1:11" ht="12" customHeight="1">
      <c r="A68" s="3"/>
      <c r="B68" s="3"/>
      <c r="C68" s="3"/>
      <c r="D68" s="3"/>
      <c r="E68" s="161" t="s">
        <v>65</v>
      </c>
      <c r="F68" s="162"/>
      <c r="G68" s="163"/>
      <c r="H68" s="20">
        <f>SUM(H64:H67)</f>
        <v>0</v>
      </c>
      <c r="I68" s="3"/>
      <c r="J68" s="3"/>
    </row>
    <row r="69" spans="1:11">
      <c r="A69" s="3"/>
      <c r="B69" s="3"/>
      <c r="C69" s="3"/>
      <c r="D69" s="3"/>
      <c r="E69" s="3"/>
      <c r="F69" s="3"/>
      <c r="G69" s="21"/>
      <c r="H69" s="22"/>
      <c r="I69" s="3"/>
      <c r="J69" s="3"/>
    </row>
    <row r="70" spans="1:11">
      <c r="A70" s="161" t="s">
        <v>26</v>
      </c>
      <c r="B70" s="167"/>
      <c r="C70" s="167"/>
      <c r="D70" s="167"/>
      <c r="E70" s="167"/>
      <c r="F70" s="167"/>
      <c r="G70" s="167"/>
      <c r="H70" s="167"/>
      <c r="I70" s="167"/>
      <c r="J70" s="168"/>
    </row>
    <row r="71" spans="1:11" ht="12.95" thickBot="1">
      <c r="A71" s="9"/>
      <c r="B71" s="169" t="s">
        <v>53</v>
      </c>
      <c r="C71" s="170"/>
      <c r="D71" s="171"/>
      <c r="E71" s="171"/>
      <c r="F71" s="171"/>
      <c r="G71" s="171"/>
      <c r="H71" s="171"/>
      <c r="I71" s="171"/>
      <c r="J71" s="172"/>
    </row>
    <row r="72" spans="1:11" ht="39.950000000000003" thickBot="1">
      <c r="A72" s="38" t="s">
        <v>12</v>
      </c>
      <c r="B72" s="119" t="s">
        <v>13</v>
      </c>
      <c r="C72" s="139" t="s">
        <v>28</v>
      </c>
      <c r="D72" s="120" t="s">
        <v>66</v>
      </c>
      <c r="E72" s="38" t="s">
        <v>67</v>
      </c>
      <c r="F72" s="1" t="s">
        <v>31</v>
      </c>
      <c r="G72" s="38" t="s">
        <v>55</v>
      </c>
      <c r="H72" s="1" t="s">
        <v>68</v>
      </c>
      <c r="I72" s="10" t="s">
        <v>23</v>
      </c>
      <c r="J72" s="11" t="s">
        <v>57</v>
      </c>
    </row>
    <row r="73" spans="1:11">
      <c r="A73" s="13">
        <v>5</v>
      </c>
      <c r="B73" s="109">
        <f>B57</f>
        <v>0</v>
      </c>
      <c r="C73" s="146"/>
      <c r="D73" s="110">
        <f>C73*B73</f>
        <v>0</v>
      </c>
      <c r="E73" s="14">
        <f>C9</f>
        <v>0</v>
      </c>
      <c r="F73" s="18">
        <f>D73*E73*(1+G73)</f>
        <v>0</v>
      </c>
      <c r="G73" s="25">
        <v>0.55000000000000004</v>
      </c>
      <c r="H73" s="49">
        <f>G73*E73</f>
        <v>0</v>
      </c>
      <c r="I73" s="16">
        <f>D73*E73</f>
        <v>0</v>
      </c>
      <c r="J73" s="26">
        <f>D73*H73</f>
        <v>0</v>
      </c>
    </row>
    <row r="74" spans="1:11">
      <c r="A74" s="13">
        <v>6</v>
      </c>
      <c r="B74" s="109">
        <f t="shared" ref="B74:B76" si="19">B58</f>
        <v>0</v>
      </c>
      <c r="C74" s="147"/>
      <c r="D74" s="110">
        <f t="shared" ref="D74:D76" si="20">C74*B74</f>
        <v>0</v>
      </c>
      <c r="E74" s="14">
        <f>E73</f>
        <v>0</v>
      </c>
      <c r="F74" s="18">
        <f>D74*E74</f>
        <v>0</v>
      </c>
      <c r="G74" s="25">
        <v>0.65</v>
      </c>
      <c r="H74" s="49">
        <f t="shared" ref="H74:H76" si="21">G74*E74</f>
        <v>0</v>
      </c>
      <c r="I74" s="16">
        <f t="shared" ref="I74:I76" si="22">D74*E74</f>
        <v>0</v>
      </c>
      <c r="J74" s="26">
        <f t="shared" ref="J74:J76" si="23">D74*H74</f>
        <v>0</v>
      </c>
    </row>
    <row r="75" spans="1:11" ht="12.95">
      <c r="A75" s="13" t="s">
        <v>58</v>
      </c>
      <c r="B75" s="109">
        <f t="shared" si="19"/>
        <v>0</v>
      </c>
      <c r="C75" s="147"/>
      <c r="D75" s="110">
        <f t="shared" si="20"/>
        <v>0</v>
      </c>
      <c r="E75" s="14">
        <f t="shared" ref="E75" si="24">E74</f>
        <v>0</v>
      </c>
      <c r="F75" s="18">
        <f>D75*E75</f>
        <v>0</v>
      </c>
      <c r="G75" s="25">
        <v>0.5</v>
      </c>
      <c r="H75" s="49">
        <f t="shared" si="21"/>
        <v>0</v>
      </c>
      <c r="I75" s="16">
        <f t="shared" si="22"/>
        <v>0</v>
      </c>
      <c r="J75" s="26">
        <f t="shared" si="23"/>
        <v>0</v>
      </c>
    </row>
    <row r="76" spans="1:11" ht="14.1" thickBot="1">
      <c r="A76" s="13" t="s">
        <v>59</v>
      </c>
      <c r="B76" s="109">
        <f t="shared" si="19"/>
        <v>0</v>
      </c>
      <c r="C76" s="148"/>
      <c r="D76" s="110">
        <f t="shared" si="20"/>
        <v>0</v>
      </c>
      <c r="E76" s="14">
        <f t="shared" ref="E76" si="25">E75</f>
        <v>0</v>
      </c>
      <c r="F76" s="18">
        <f>D76*E76</f>
        <v>0</v>
      </c>
      <c r="G76" s="25">
        <v>0.38</v>
      </c>
      <c r="H76" s="49">
        <f t="shared" si="21"/>
        <v>0</v>
      </c>
      <c r="I76" s="16">
        <f t="shared" si="22"/>
        <v>0</v>
      </c>
      <c r="J76" s="26">
        <f t="shared" si="23"/>
        <v>0</v>
      </c>
    </row>
    <row r="77" spans="1:11" ht="15">
      <c r="B77" s="3"/>
      <c r="C77" s="3"/>
      <c r="D77" s="3"/>
      <c r="E77" s="3"/>
      <c r="F77" s="3"/>
      <c r="G77" s="164" t="s">
        <v>69</v>
      </c>
      <c r="H77" s="165"/>
      <c r="I77" s="166"/>
      <c r="J77" s="33">
        <f>SUM(J73:J76)</f>
        <v>0</v>
      </c>
    </row>
    <row r="78" spans="1:11" ht="15">
      <c r="A78" s="3"/>
      <c r="B78" s="3"/>
      <c r="C78" s="3"/>
      <c r="D78" s="3"/>
      <c r="E78" s="3"/>
      <c r="F78" s="3"/>
      <c r="G78" s="173" t="s">
        <v>70</v>
      </c>
      <c r="H78" s="174"/>
      <c r="I78" s="174"/>
      <c r="J78" s="174"/>
    </row>
    <row r="79" spans="1:11" ht="39">
      <c r="A79" s="3"/>
      <c r="B79" s="3"/>
      <c r="C79" s="3"/>
      <c r="D79" s="3"/>
      <c r="E79" s="3"/>
      <c r="F79" s="3"/>
      <c r="G79" s="38" t="s">
        <v>37</v>
      </c>
      <c r="H79" s="1" t="s">
        <v>71</v>
      </c>
      <c r="I79" s="10" t="s">
        <v>23</v>
      </c>
      <c r="J79" s="11" t="s">
        <v>64</v>
      </c>
    </row>
    <row r="80" spans="1:11">
      <c r="A80" s="3"/>
      <c r="B80" s="3"/>
      <c r="C80" s="3"/>
      <c r="D80" s="3"/>
      <c r="E80" s="3"/>
      <c r="F80" s="3"/>
      <c r="G80" s="24">
        <f>E73*12</f>
        <v>0</v>
      </c>
      <c r="H80" s="97">
        <f>F73*12</f>
        <v>0</v>
      </c>
      <c r="I80" s="98">
        <f t="shared" ref="I80:J83" si="26">I73*12</f>
        <v>0</v>
      </c>
      <c r="J80" s="99">
        <f t="shared" si="26"/>
        <v>0</v>
      </c>
    </row>
    <row r="81" spans="1:11">
      <c r="A81" s="3"/>
      <c r="B81" s="3"/>
      <c r="C81" s="3"/>
      <c r="D81" s="3"/>
      <c r="E81" s="3"/>
      <c r="F81" s="3"/>
      <c r="G81" s="24">
        <f>D74*12</f>
        <v>0</v>
      </c>
      <c r="H81" s="97">
        <f>F74*12</f>
        <v>0</v>
      </c>
      <c r="I81" s="98">
        <f t="shared" si="26"/>
        <v>0</v>
      </c>
      <c r="J81" s="99">
        <f t="shared" si="26"/>
        <v>0</v>
      </c>
    </row>
    <row r="82" spans="1:11">
      <c r="A82" s="3"/>
      <c r="B82" s="3"/>
      <c r="C82" s="3"/>
      <c r="D82" s="3"/>
      <c r="E82" s="3"/>
      <c r="F82" s="3"/>
      <c r="G82" s="24">
        <f>D75*12</f>
        <v>0</v>
      </c>
      <c r="H82" s="97">
        <f>F75*12</f>
        <v>0</v>
      </c>
      <c r="I82" s="98">
        <f t="shared" si="26"/>
        <v>0</v>
      </c>
      <c r="J82" s="99">
        <f t="shared" si="26"/>
        <v>0</v>
      </c>
    </row>
    <row r="83" spans="1:11">
      <c r="A83" s="3"/>
      <c r="B83" s="3"/>
      <c r="C83" s="3"/>
      <c r="D83" s="3"/>
      <c r="E83" s="3"/>
      <c r="F83" s="3"/>
      <c r="G83" s="24">
        <f>D76*12</f>
        <v>0</v>
      </c>
      <c r="H83" s="97">
        <f>F76*12</f>
        <v>0</v>
      </c>
      <c r="I83" s="98">
        <f t="shared" si="26"/>
        <v>0</v>
      </c>
      <c r="J83" s="99">
        <f t="shared" si="26"/>
        <v>0</v>
      </c>
    </row>
    <row r="84" spans="1:11" ht="15">
      <c r="A84" s="3"/>
      <c r="B84" s="3"/>
      <c r="C84" s="3"/>
      <c r="D84" s="3"/>
      <c r="E84" s="3"/>
      <c r="F84" s="3"/>
      <c r="G84" s="161" t="s">
        <v>72</v>
      </c>
      <c r="H84" s="162"/>
      <c r="I84" s="163"/>
      <c r="J84" s="20">
        <f>SUM(J80:J83)</f>
        <v>0</v>
      </c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1">
      <c r="A90" s="116" t="s">
        <v>73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1" ht="51.95">
      <c r="A92" s="124" t="s">
        <v>12</v>
      </c>
      <c r="B92" s="124" t="s">
        <v>74</v>
      </c>
      <c r="C92" s="124" t="s">
        <v>75</v>
      </c>
      <c r="D92" s="124" t="s">
        <v>76</v>
      </c>
      <c r="E92" s="3"/>
      <c r="F92" s="3"/>
      <c r="G92" s="27" t="s">
        <v>12</v>
      </c>
      <c r="H92" s="27" t="s">
        <v>77</v>
      </c>
      <c r="I92" s="27" t="s">
        <v>78</v>
      </c>
      <c r="J92" s="27" t="s">
        <v>79</v>
      </c>
      <c r="K92" s="3"/>
    </row>
    <row r="93" spans="1:11">
      <c r="A93" s="8">
        <v>5</v>
      </c>
      <c r="B93" s="94">
        <f>H57</f>
        <v>0</v>
      </c>
      <c r="C93" s="94">
        <f>J73</f>
        <v>0</v>
      </c>
      <c r="D93" s="106">
        <f>SUM(B93:C93)</f>
        <v>0</v>
      </c>
      <c r="E93" s="3"/>
      <c r="F93" s="3"/>
      <c r="G93" s="8">
        <v>5</v>
      </c>
      <c r="H93" s="94">
        <f>H64</f>
        <v>0</v>
      </c>
      <c r="I93" s="94">
        <f>J80</f>
        <v>0</v>
      </c>
      <c r="J93" s="106">
        <f>SUM(H93:I93)</f>
        <v>0</v>
      </c>
      <c r="K93" s="3"/>
    </row>
    <row r="94" spans="1:11">
      <c r="A94" s="8">
        <v>6</v>
      </c>
      <c r="B94" s="94">
        <f t="shared" ref="B94:B97" si="27">H58</f>
        <v>0</v>
      </c>
      <c r="C94" s="94">
        <f t="shared" ref="C94:C96" si="28">J74</f>
        <v>0</v>
      </c>
      <c r="D94" s="106">
        <f t="shared" ref="D94:D96" si="29">SUM(B94:C94)</f>
        <v>0</v>
      </c>
      <c r="E94" s="3"/>
      <c r="F94" s="3"/>
      <c r="G94" s="8">
        <v>6</v>
      </c>
      <c r="H94" s="94">
        <f>H65</f>
        <v>0</v>
      </c>
      <c r="I94" s="94">
        <f>J81</f>
        <v>0</v>
      </c>
      <c r="J94" s="106">
        <f t="shared" ref="J94:J96" si="30">SUM(H94:I94)</f>
        <v>0</v>
      </c>
      <c r="K94" s="3"/>
    </row>
    <row r="95" spans="1:11" ht="12.95">
      <c r="A95" s="8" t="s">
        <v>58</v>
      </c>
      <c r="B95" s="94">
        <f t="shared" si="27"/>
        <v>0</v>
      </c>
      <c r="C95" s="94">
        <f t="shared" si="28"/>
        <v>0</v>
      </c>
      <c r="D95" s="106">
        <f t="shared" si="29"/>
        <v>0</v>
      </c>
      <c r="E95" s="3"/>
      <c r="F95" s="3"/>
      <c r="G95" s="8" t="s">
        <v>58</v>
      </c>
      <c r="H95" s="94">
        <f>H66</f>
        <v>0</v>
      </c>
      <c r="I95" s="94">
        <f>J82</f>
        <v>0</v>
      </c>
      <c r="J95" s="106">
        <f t="shared" si="30"/>
        <v>0</v>
      </c>
      <c r="K95" s="3"/>
    </row>
    <row r="96" spans="1:11" ht="12.95">
      <c r="A96" s="8" t="s">
        <v>59</v>
      </c>
      <c r="B96" s="94">
        <f t="shared" si="27"/>
        <v>0</v>
      </c>
      <c r="C96" s="94">
        <f t="shared" si="28"/>
        <v>0</v>
      </c>
      <c r="D96" s="106">
        <f t="shared" si="29"/>
        <v>0</v>
      </c>
      <c r="E96" s="3"/>
      <c r="F96" s="3"/>
      <c r="G96" s="8" t="s">
        <v>59</v>
      </c>
      <c r="H96" s="94">
        <f>H67</f>
        <v>0</v>
      </c>
      <c r="I96" s="94">
        <f>J83</f>
        <v>0</v>
      </c>
      <c r="J96" s="106">
        <f t="shared" si="30"/>
        <v>0</v>
      </c>
      <c r="K96" s="3"/>
    </row>
    <row r="97" spans="1:11" ht="12.95">
      <c r="A97" s="124" t="s">
        <v>50</v>
      </c>
      <c r="B97" s="127">
        <f t="shared" si="27"/>
        <v>0</v>
      </c>
      <c r="C97" s="127">
        <f>J77</f>
        <v>0</v>
      </c>
      <c r="D97" s="127">
        <f>SUM(B97:C97)</f>
        <v>0</v>
      </c>
      <c r="E97" s="3"/>
      <c r="F97" s="3"/>
      <c r="G97" s="27" t="s">
        <v>51</v>
      </c>
      <c r="H97" s="129">
        <f>SUM(H93:H96)</f>
        <v>0</v>
      </c>
      <c r="I97" s="129">
        <f>SUM(I93:I96)</f>
        <v>0</v>
      </c>
      <c r="J97" s="129">
        <f>SUM(H97:I97)</f>
        <v>0</v>
      </c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4.1">
      <c r="A100" s="111" t="s">
        <v>80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39">
      <c r="A102" s="3"/>
      <c r="B102" s="2" t="s">
        <v>12</v>
      </c>
      <c r="C102" s="2" t="s">
        <v>81</v>
      </c>
      <c r="D102" s="2" t="s">
        <v>82</v>
      </c>
      <c r="E102" s="2" t="s">
        <v>83</v>
      </c>
      <c r="F102" s="3"/>
      <c r="G102" s="3"/>
      <c r="H102" s="3"/>
      <c r="I102" s="3"/>
      <c r="J102" s="3"/>
      <c r="K102" s="3"/>
    </row>
    <row r="103" spans="1:11">
      <c r="A103" s="3"/>
      <c r="B103" s="29">
        <v>1</v>
      </c>
      <c r="C103" s="104"/>
      <c r="D103" s="92">
        <f>J46*(-1)</f>
        <v>0</v>
      </c>
      <c r="E103" s="93">
        <f>C103+D103</f>
        <v>0</v>
      </c>
      <c r="F103" s="3"/>
      <c r="G103" s="3"/>
      <c r="H103" s="3"/>
      <c r="I103" s="3"/>
      <c r="J103" s="3"/>
      <c r="K103" s="3"/>
    </row>
    <row r="104" spans="1:11">
      <c r="A104" s="3"/>
      <c r="B104" s="30">
        <v>2</v>
      </c>
      <c r="C104" s="105"/>
      <c r="D104" s="94">
        <f>J47*(-1)</f>
        <v>0</v>
      </c>
      <c r="E104" s="95">
        <f>C104+D104</f>
        <v>0</v>
      </c>
      <c r="F104" s="3"/>
      <c r="G104" s="3"/>
      <c r="H104" s="3"/>
      <c r="I104" s="3"/>
      <c r="J104" s="3"/>
      <c r="K104" s="3"/>
    </row>
    <row r="105" spans="1:11">
      <c r="A105" s="3"/>
      <c r="B105" s="30">
        <v>3</v>
      </c>
      <c r="C105" s="105"/>
      <c r="D105" s="94">
        <f>J48*(-1)</f>
        <v>0</v>
      </c>
      <c r="E105" s="95">
        <f t="shared" ref="E105:E109" si="31">C105+D105</f>
        <v>0</v>
      </c>
      <c r="F105" s="3"/>
      <c r="G105" s="3"/>
      <c r="H105" s="3"/>
      <c r="I105" s="3"/>
      <c r="J105" s="3"/>
      <c r="K105" s="3"/>
    </row>
    <row r="106" spans="1:11">
      <c r="A106" s="3"/>
      <c r="B106" s="30">
        <v>5</v>
      </c>
      <c r="C106" s="90">
        <f>J80</f>
        <v>0</v>
      </c>
      <c r="D106" s="106"/>
      <c r="E106" s="95">
        <f t="shared" si="31"/>
        <v>0</v>
      </c>
      <c r="F106" s="3"/>
      <c r="G106" s="3"/>
      <c r="H106" s="3"/>
      <c r="I106" s="3"/>
      <c r="J106" s="3"/>
      <c r="K106" s="3"/>
    </row>
    <row r="107" spans="1:11">
      <c r="A107" s="3"/>
      <c r="B107" s="30">
        <v>6</v>
      </c>
      <c r="C107" s="90">
        <f>J81</f>
        <v>0</v>
      </c>
      <c r="D107" s="106"/>
      <c r="E107" s="95">
        <f t="shared" si="31"/>
        <v>0</v>
      </c>
      <c r="F107" s="3"/>
      <c r="G107" s="3"/>
      <c r="H107" s="3"/>
      <c r="I107" s="3"/>
      <c r="J107" s="3"/>
      <c r="K107" s="3"/>
    </row>
    <row r="108" spans="1:11" ht="12.95">
      <c r="A108" s="3"/>
      <c r="B108" s="30" t="s">
        <v>58</v>
      </c>
      <c r="C108" s="90">
        <f>J82</f>
        <v>0</v>
      </c>
      <c r="D108" s="106"/>
      <c r="E108" s="95">
        <f t="shared" si="31"/>
        <v>0</v>
      </c>
      <c r="F108" s="3"/>
      <c r="G108" s="3"/>
      <c r="H108" s="3"/>
      <c r="I108" s="3"/>
      <c r="J108" s="3"/>
      <c r="K108" s="3"/>
    </row>
    <row r="109" spans="1:11" ht="12.95">
      <c r="A109" s="3"/>
      <c r="B109" s="30" t="s">
        <v>59</v>
      </c>
      <c r="C109" s="90">
        <f>J83</f>
        <v>0</v>
      </c>
      <c r="D109" s="106"/>
      <c r="E109" s="95">
        <f t="shared" si="31"/>
        <v>0</v>
      </c>
      <c r="F109" s="3"/>
      <c r="G109" s="3"/>
      <c r="H109" s="3"/>
      <c r="I109" s="3"/>
      <c r="J109" s="3"/>
      <c r="K109" s="3"/>
    </row>
    <row r="110" spans="1:11" ht="12.95">
      <c r="A110" s="3"/>
      <c r="B110" s="2" t="s">
        <v>51</v>
      </c>
      <c r="C110" s="91">
        <f>SUM(C103:C109)</f>
        <v>0</v>
      </c>
      <c r="D110" s="96">
        <f>D103</f>
        <v>0</v>
      </c>
      <c r="E110" s="96">
        <f>SUM(E103:E109)</f>
        <v>0</v>
      </c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26.1">
      <c r="A113" s="3"/>
      <c r="B113" s="2" t="s">
        <v>84</v>
      </c>
      <c r="C113" s="133">
        <f>IF(E110&lt;0,Convierte!E5,0)</f>
        <v>0</v>
      </c>
      <c r="D113" s="134"/>
      <c r="E113" s="134"/>
      <c r="F113" s="134"/>
      <c r="G113" s="135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152" t="s">
        <v>85</v>
      </c>
      <c r="C115" s="5">
        <f>IF(E110&lt;0,Convierte!E75,0)</f>
        <v>0</v>
      </c>
      <c r="D115" s="6"/>
      <c r="E115" s="6"/>
      <c r="F115" s="6"/>
      <c r="G115" s="130"/>
      <c r="H115" s="3"/>
      <c r="I115" s="3"/>
      <c r="J115" s="3"/>
      <c r="K115" s="3"/>
    </row>
    <row r="116" spans="1:11">
      <c r="A116" s="3"/>
      <c r="B116" s="153"/>
      <c r="C116" s="131" t="b">
        <f>IF(E110&lt;0,E110/12)</f>
        <v>0</v>
      </c>
      <c r="D116" s="7"/>
      <c r="E116" s="7"/>
      <c r="F116" s="7"/>
      <c r="G116" s="132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26.1">
      <c r="A118" s="3"/>
      <c r="B118" s="2" t="s">
        <v>86</v>
      </c>
      <c r="C118" s="133">
        <f>IF(E110&gt;0,Convierte!E5,0)</f>
        <v>0</v>
      </c>
      <c r="D118" s="134"/>
      <c r="E118" s="134"/>
      <c r="F118" s="134"/>
      <c r="G118" s="135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152" t="s">
        <v>87</v>
      </c>
      <c r="C120" s="5">
        <f>IF(E110&gt;0,Convierte!E75,0)</f>
        <v>0</v>
      </c>
      <c r="D120" s="6"/>
      <c r="E120" s="6"/>
      <c r="F120" s="6"/>
      <c r="G120" s="130"/>
      <c r="H120" s="3"/>
      <c r="I120" s="3"/>
      <c r="J120" s="3"/>
      <c r="K120" s="3"/>
    </row>
    <row r="121" spans="1:11">
      <c r="A121" s="3"/>
      <c r="B121" s="153"/>
      <c r="C121" s="131">
        <f>IF(E110&gt;0,E110/12,0)</f>
        <v>0</v>
      </c>
      <c r="D121" s="7"/>
      <c r="E121" s="7"/>
      <c r="F121" s="7"/>
      <c r="G121" s="132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</sheetData>
  <sheetProtection algorithmName="SHA-512" hashValue="O69/PY+lklTteteEacez6P2soEiHhP5mZ6kIiEPwD0K1kP8/jkOnKAUWy2zz7URn5Oyz8emD8moyVKRK+jgesw==" saltValue="yqgv4jM//tTLxBQEtKdOrg==" spinCount="100000" sheet="1" objects="1" scenarios="1"/>
  <mergeCells count="22">
    <mergeCell ref="A14:H14"/>
    <mergeCell ref="A29:J29"/>
    <mergeCell ref="A54:H54"/>
    <mergeCell ref="B55:H55"/>
    <mergeCell ref="A15:H15"/>
    <mergeCell ref="B30:J30"/>
    <mergeCell ref="E20:G20"/>
    <mergeCell ref="B115:B116"/>
    <mergeCell ref="B120:B121"/>
    <mergeCell ref="E21:H21"/>
    <mergeCell ref="E26:G26"/>
    <mergeCell ref="F36:J36"/>
    <mergeCell ref="E62:H62"/>
    <mergeCell ref="E68:G68"/>
    <mergeCell ref="E61:G61"/>
    <mergeCell ref="G77:I77"/>
    <mergeCell ref="G84:I84"/>
    <mergeCell ref="A70:J70"/>
    <mergeCell ref="B71:J71"/>
    <mergeCell ref="G78:J78"/>
    <mergeCell ref="F35:I35"/>
    <mergeCell ref="F41:I41"/>
  </mergeCells>
  <pageMargins left="0.31496062992125984" right="0.31496062992125984" top="0.35433070866141736" bottom="0.35433070866141736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057C1-7611-4ABA-A13F-E7205CBD3F7C}">
  <dimension ref="B1:AC207"/>
  <sheetViews>
    <sheetView workbookViewId="0">
      <selection activeCell="D4" sqref="D4"/>
    </sheetView>
  </sheetViews>
  <sheetFormatPr defaultColWidth="9.140625" defaultRowHeight="12.95"/>
  <cols>
    <col min="1" max="1" width="9.140625" style="54"/>
    <col min="2" max="2" width="5.42578125" style="54" customWidth="1"/>
    <col min="3" max="3" width="5.140625" style="54" customWidth="1"/>
    <col min="4" max="4" width="16.85546875" style="54" customWidth="1"/>
    <col min="5" max="5" width="15.85546875" style="54" customWidth="1"/>
    <col min="6" max="22" width="3.7109375" style="54" customWidth="1"/>
    <col min="23" max="23" width="9.140625" style="54"/>
    <col min="24" max="24" width="13.28515625" style="54" customWidth="1"/>
    <col min="25" max="25" width="9.140625" style="54"/>
    <col min="26" max="26" width="5.28515625" style="54" customWidth="1"/>
    <col min="27" max="27" width="3.85546875" style="54" customWidth="1"/>
    <col min="28" max="28" width="5.140625" style="54" customWidth="1"/>
    <col min="29" max="257" width="9.140625" style="54"/>
    <col min="258" max="258" width="5.42578125" style="54" customWidth="1"/>
    <col min="259" max="259" width="5.140625" style="54" customWidth="1"/>
    <col min="260" max="260" width="16.85546875" style="54" customWidth="1"/>
    <col min="261" max="261" width="15.85546875" style="54" customWidth="1"/>
    <col min="262" max="278" width="3.7109375" style="54" customWidth="1"/>
    <col min="279" max="279" width="9.140625" style="54"/>
    <col min="280" max="280" width="13.28515625" style="54" customWidth="1"/>
    <col min="281" max="281" width="9.140625" style="54"/>
    <col min="282" max="282" width="5.28515625" style="54" customWidth="1"/>
    <col min="283" max="283" width="3.85546875" style="54" customWidth="1"/>
    <col min="284" max="284" width="5.140625" style="54" customWidth="1"/>
    <col min="285" max="513" width="9.140625" style="54"/>
    <col min="514" max="514" width="5.42578125" style="54" customWidth="1"/>
    <col min="515" max="515" width="5.140625" style="54" customWidth="1"/>
    <col min="516" max="516" width="16.85546875" style="54" customWidth="1"/>
    <col min="517" max="517" width="15.85546875" style="54" customWidth="1"/>
    <col min="518" max="534" width="3.7109375" style="54" customWidth="1"/>
    <col min="535" max="535" width="9.140625" style="54"/>
    <col min="536" max="536" width="13.28515625" style="54" customWidth="1"/>
    <col min="537" max="537" width="9.140625" style="54"/>
    <col min="538" max="538" width="5.28515625" style="54" customWidth="1"/>
    <col min="539" max="539" width="3.85546875" style="54" customWidth="1"/>
    <col min="540" max="540" width="5.140625" style="54" customWidth="1"/>
    <col min="541" max="769" width="9.140625" style="54"/>
    <col min="770" max="770" width="5.42578125" style="54" customWidth="1"/>
    <col min="771" max="771" width="5.140625" style="54" customWidth="1"/>
    <col min="772" max="772" width="16.85546875" style="54" customWidth="1"/>
    <col min="773" max="773" width="15.85546875" style="54" customWidth="1"/>
    <col min="774" max="790" width="3.7109375" style="54" customWidth="1"/>
    <col min="791" max="791" width="9.140625" style="54"/>
    <col min="792" max="792" width="13.28515625" style="54" customWidth="1"/>
    <col min="793" max="793" width="9.140625" style="54"/>
    <col min="794" max="794" width="5.28515625" style="54" customWidth="1"/>
    <col min="795" max="795" width="3.85546875" style="54" customWidth="1"/>
    <col min="796" max="796" width="5.140625" style="54" customWidth="1"/>
    <col min="797" max="1025" width="9.140625" style="54"/>
    <col min="1026" max="1026" width="5.42578125" style="54" customWidth="1"/>
    <col min="1027" max="1027" width="5.140625" style="54" customWidth="1"/>
    <col min="1028" max="1028" width="16.85546875" style="54" customWidth="1"/>
    <col min="1029" max="1029" width="15.85546875" style="54" customWidth="1"/>
    <col min="1030" max="1046" width="3.7109375" style="54" customWidth="1"/>
    <col min="1047" max="1047" width="9.140625" style="54"/>
    <col min="1048" max="1048" width="13.28515625" style="54" customWidth="1"/>
    <col min="1049" max="1049" width="9.140625" style="54"/>
    <col min="1050" max="1050" width="5.28515625" style="54" customWidth="1"/>
    <col min="1051" max="1051" width="3.85546875" style="54" customWidth="1"/>
    <col min="1052" max="1052" width="5.140625" style="54" customWidth="1"/>
    <col min="1053" max="1281" width="9.140625" style="54"/>
    <col min="1282" max="1282" width="5.42578125" style="54" customWidth="1"/>
    <col min="1283" max="1283" width="5.140625" style="54" customWidth="1"/>
    <col min="1284" max="1284" width="16.85546875" style="54" customWidth="1"/>
    <col min="1285" max="1285" width="15.85546875" style="54" customWidth="1"/>
    <col min="1286" max="1302" width="3.7109375" style="54" customWidth="1"/>
    <col min="1303" max="1303" width="9.140625" style="54"/>
    <col min="1304" max="1304" width="13.28515625" style="54" customWidth="1"/>
    <col min="1305" max="1305" width="9.140625" style="54"/>
    <col min="1306" max="1306" width="5.28515625" style="54" customWidth="1"/>
    <col min="1307" max="1307" width="3.85546875" style="54" customWidth="1"/>
    <col min="1308" max="1308" width="5.140625" style="54" customWidth="1"/>
    <col min="1309" max="1537" width="9.140625" style="54"/>
    <col min="1538" max="1538" width="5.42578125" style="54" customWidth="1"/>
    <col min="1539" max="1539" width="5.140625" style="54" customWidth="1"/>
    <col min="1540" max="1540" width="16.85546875" style="54" customWidth="1"/>
    <col min="1541" max="1541" width="15.85546875" style="54" customWidth="1"/>
    <col min="1542" max="1558" width="3.7109375" style="54" customWidth="1"/>
    <col min="1559" max="1559" width="9.140625" style="54"/>
    <col min="1560" max="1560" width="13.28515625" style="54" customWidth="1"/>
    <col min="1561" max="1561" width="9.140625" style="54"/>
    <col min="1562" max="1562" width="5.28515625" style="54" customWidth="1"/>
    <col min="1563" max="1563" width="3.85546875" style="54" customWidth="1"/>
    <col min="1564" max="1564" width="5.140625" style="54" customWidth="1"/>
    <col min="1565" max="1793" width="9.140625" style="54"/>
    <col min="1794" max="1794" width="5.42578125" style="54" customWidth="1"/>
    <col min="1795" max="1795" width="5.140625" style="54" customWidth="1"/>
    <col min="1796" max="1796" width="16.85546875" style="54" customWidth="1"/>
    <col min="1797" max="1797" width="15.85546875" style="54" customWidth="1"/>
    <col min="1798" max="1814" width="3.7109375" style="54" customWidth="1"/>
    <col min="1815" max="1815" width="9.140625" style="54"/>
    <col min="1816" max="1816" width="13.28515625" style="54" customWidth="1"/>
    <col min="1817" max="1817" width="9.140625" style="54"/>
    <col min="1818" max="1818" width="5.28515625" style="54" customWidth="1"/>
    <col min="1819" max="1819" width="3.85546875" style="54" customWidth="1"/>
    <col min="1820" max="1820" width="5.140625" style="54" customWidth="1"/>
    <col min="1821" max="2049" width="9.140625" style="54"/>
    <col min="2050" max="2050" width="5.42578125" style="54" customWidth="1"/>
    <col min="2051" max="2051" width="5.140625" style="54" customWidth="1"/>
    <col min="2052" max="2052" width="16.85546875" style="54" customWidth="1"/>
    <col min="2053" max="2053" width="15.85546875" style="54" customWidth="1"/>
    <col min="2054" max="2070" width="3.7109375" style="54" customWidth="1"/>
    <col min="2071" max="2071" width="9.140625" style="54"/>
    <col min="2072" max="2072" width="13.28515625" style="54" customWidth="1"/>
    <col min="2073" max="2073" width="9.140625" style="54"/>
    <col min="2074" max="2074" width="5.28515625" style="54" customWidth="1"/>
    <col min="2075" max="2075" width="3.85546875" style="54" customWidth="1"/>
    <col min="2076" max="2076" width="5.140625" style="54" customWidth="1"/>
    <col min="2077" max="2305" width="9.140625" style="54"/>
    <col min="2306" max="2306" width="5.42578125" style="54" customWidth="1"/>
    <col min="2307" max="2307" width="5.140625" style="54" customWidth="1"/>
    <col min="2308" max="2308" width="16.85546875" style="54" customWidth="1"/>
    <col min="2309" max="2309" width="15.85546875" style="54" customWidth="1"/>
    <col min="2310" max="2326" width="3.7109375" style="54" customWidth="1"/>
    <col min="2327" max="2327" width="9.140625" style="54"/>
    <col min="2328" max="2328" width="13.28515625" style="54" customWidth="1"/>
    <col min="2329" max="2329" width="9.140625" style="54"/>
    <col min="2330" max="2330" width="5.28515625" style="54" customWidth="1"/>
    <col min="2331" max="2331" width="3.85546875" style="54" customWidth="1"/>
    <col min="2332" max="2332" width="5.140625" style="54" customWidth="1"/>
    <col min="2333" max="2561" width="9.140625" style="54"/>
    <col min="2562" max="2562" width="5.42578125" style="54" customWidth="1"/>
    <col min="2563" max="2563" width="5.140625" style="54" customWidth="1"/>
    <col min="2564" max="2564" width="16.85546875" style="54" customWidth="1"/>
    <col min="2565" max="2565" width="15.85546875" style="54" customWidth="1"/>
    <col min="2566" max="2582" width="3.7109375" style="54" customWidth="1"/>
    <col min="2583" max="2583" width="9.140625" style="54"/>
    <col min="2584" max="2584" width="13.28515625" style="54" customWidth="1"/>
    <col min="2585" max="2585" width="9.140625" style="54"/>
    <col min="2586" max="2586" width="5.28515625" style="54" customWidth="1"/>
    <col min="2587" max="2587" width="3.85546875" style="54" customWidth="1"/>
    <col min="2588" max="2588" width="5.140625" style="54" customWidth="1"/>
    <col min="2589" max="2817" width="9.140625" style="54"/>
    <col min="2818" max="2818" width="5.42578125" style="54" customWidth="1"/>
    <col min="2819" max="2819" width="5.140625" style="54" customWidth="1"/>
    <col min="2820" max="2820" width="16.85546875" style="54" customWidth="1"/>
    <col min="2821" max="2821" width="15.85546875" style="54" customWidth="1"/>
    <col min="2822" max="2838" width="3.7109375" style="54" customWidth="1"/>
    <col min="2839" max="2839" width="9.140625" style="54"/>
    <col min="2840" max="2840" width="13.28515625" style="54" customWidth="1"/>
    <col min="2841" max="2841" width="9.140625" style="54"/>
    <col min="2842" max="2842" width="5.28515625" style="54" customWidth="1"/>
    <col min="2843" max="2843" width="3.85546875" style="54" customWidth="1"/>
    <col min="2844" max="2844" width="5.140625" style="54" customWidth="1"/>
    <col min="2845" max="3073" width="9.140625" style="54"/>
    <col min="3074" max="3074" width="5.42578125" style="54" customWidth="1"/>
    <col min="3075" max="3075" width="5.140625" style="54" customWidth="1"/>
    <col min="3076" max="3076" width="16.85546875" style="54" customWidth="1"/>
    <col min="3077" max="3077" width="15.85546875" style="54" customWidth="1"/>
    <col min="3078" max="3094" width="3.7109375" style="54" customWidth="1"/>
    <col min="3095" max="3095" width="9.140625" style="54"/>
    <col min="3096" max="3096" width="13.28515625" style="54" customWidth="1"/>
    <col min="3097" max="3097" width="9.140625" style="54"/>
    <col min="3098" max="3098" width="5.28515625" style="54" customWidth="1"/>
    <col min="3099" max="3099" width="3.85546875" style="54" customWidth="1"/>
    <col min="3100" max="3100" width="5.140625" style="54" customWidth="1"/>
    <col min="3101" max="3329" width="9.140625" style="54"/>
    <col min="3330" max="3330" width="5.42578125" style="54" customWidth="1"/>
    <col min="3331" max="3331" width="5.140625" style="54" customWidth="1"/>
    <col min="3332" max="3332" width="16.85546875" style="54" customWidth="1"/>
    <col min="3333" max="3333" width="15.85546875" style="54" customWidth="1"/>
    <col min="3334" max="3350" width="3.7109375" style="54" customWidth="1"/>
    <col min="3351" max="3351" width="9.140625" style="54"/>
    <col min="3352" max="3352" width="13.28515625" style="54" customWidth="1"/>
    <col min="3353" max="3353" width="9.140625" style="54"/>
    <col min="3354" max="3354" width="5.28515625" style="54" customWidth="1"/>
    <col min="3355" max="3355" width="3.85546875" style="54" customWidth="1"/>
    <col min="3356" max="3356" width="5.140625" style="54" customWidth="1"/>
    <col min="3357" max="3585" width="9.140625" style="54"/>
    <col min="3586" max="3586" width="5.42578125" style="54" customWidth="1"/>
    <col min="3587" max="3587" width="5.140625" style="54" customWidth="1"/>
    <col min="3588" max="3588" width="16.85546875" style="54" customWidth="1"/>
    <col min="3589" max="3589" width="15.85546875" style="54" customWidth="1"/>
    <col min="3590" max="3606" width="3.7109375" style="54" customWidth="1"/>
    <col min="3607" max="3607" width="9.140625" style="54"/>
    <col min="3608" max="3608" width="13.28515625" style="54" customWidth="1"/>
    <col min="3609" max="3609" width="9.140625" style="54"/>
    <col min="3610" max="3610" width="5.28515625" style="54" customWidth="1"/>
    <col min="3611" max="3611" width="3.85546875" style="54" customWidth="1"/>
    <col min="3612" max="3612" width="5.140625" style="54" customWidth="1"/>
    <col min="3613" max="3841" width="9.140625" style="54"/>
    <col min="3842" max="3842" width="5.42578125" style="54" customWidth="1"/>
    <col min="3843" max="3843" width="5.140625" style="54" customWidth="1"/>
    <col min="3844" max="3844" width="16.85546875" style="54" customWidth="1"/>
    <col min="3845" max="3845" width="15.85546875" style="54" customWidth="1"/>
    <col min="3846" max="3862" width="3.7109375" style="54" customWidth="1"/>
    <col min="3863" max="3863" width="9.140625" style="54"/>
    <col min="3864" max="3864" width="13.28515625" style="54" customWidth="1"/>
    <col min="3865" max="3865" width="9.140625" style="54"/>
    <col min="3866" max="3866" width="5.28515625" style="54" customWidth="1"/>
    <col min="3867" max="3867" width="3.85546875" style="54" customWidth="1"/>
    <col min="3868" max="3868" width="5.140625" style="54" customWidth="1"/>
    <col min="3869" max="4097" width="9.140625" style="54"/>
    <col min="4098" max="4098" width="5.42578125" style="54" customWidth="1"/>
    <col min="4099" max="4099" width="5.140625" style="54" customWidth="1"/>
    <col min="4100" max="4100" width="16.85546875" style="54" customWidth="1"/>
    <col min="4101" max="4101" width="15.85546875" style="54" customWidth="1"/>
    <col min="4102" max="4118" width="3.7109375" style="54" customWidth="1"/>
    <col min="4119" max="4119" width="9.140625" style="54"/>
    <col min="4120" max="4120" width="13.28515625" style="54" customWidth="1"/>
    <col min="4121" max="4121" width="9.140625" style="54"/>
    <col min="4122" max="4122" width="5.28515625" style="54" customWidth="1"/>
    <col min="4123" max="4123" width="3.85546875" style="54" customWidth="1"/>
    <col min="4124" max="4124" width="5.140625" style="54" customWidth="1"/>
    <col min="4125" max="4353" width="9.140625" style="54"/>
    <col min="4354" max="4354" width="5.42578125" style="54" customWidth="1"/>
    <col min="4355" max="4355" width="5.140625" style="54" customWidth="1"/>
    <col min="4356" max="4356" width="16.85546875" style="54" customWidth="1"/>
    <col min="4357" max="4357" width="15.85546875" style="54" customWidth="1"/>
    <col min="4358" max="4374" width="3.7109375" style="54" customWidth="1"/>
    <col min="4375" max="4375" width="9.140625" style="54"/>
    <col min="4376" max="4376" width="13.28515625" style="54" customWidth="1"/>
    <col min="4377" max="4377" width="9.140625" style="54"/>
    <col min="4378" max="4378" width="5.28515625" style="54" customWidth="1"/>
    <col min="4379" max="4379" width="3.85546875" style="54" customWidth="1"/>
    <col min="4380" max="4380" width="5.140625" style="54" customWidth="1"/>
    <col min="4381" max="4609" width="9.140625" style="54"/>
    <col min="4610" max="4610" width="5.42578125" style="54" customWidth="1"/>
    <col min="4611" max="4611" width="5.140625" style="54" customWidth="1"/>
    <col min="4612" max="4612" width="16.85546875" style="54" customWidth="1"/>
    <col min="4613" max="4613" width="15.85546875" style="54" customWidth="1"/>
    <col min="4614" max="4630" width="3.7109375" style="54" customWidth="1"/>
    <col min="4631" max="4631" width="9.140625" style="54"/>
    <col min="4632" max="4632" width="13.28515625" style="54" customWidth="1"/>
    <col min="4633" max="4633" width="9.140625" style="54"/>
    <col min="4634" max="4634" width="5.28515625" style="54" customWidth="1"/>
    <col min="4635" max="4635" width="3.85546875" style="54" customWidth="1"/>
    <col min="4636" max="4636" width="5.140625" style="54" customWidth="1"/>
    <col min="4637" max="4865" width="9.140625" style="54"/>
    <col min="4866" max="4866" width="5.42578125" style="54" customWidth="1"/>
    <col min="4867" max="4867" width="5.140625" style="54" customWidth="1"/>
    <col min="4868" max="4868" width="16.85546875" style="54" customWidth="1"/>
    <col min="4869" max="4869" width="15.85546875" style="54" customWidth="1"/>
    <col min="4870" max="4886" width="3.7109375" style="54" customWidth="1"/>
    <col min="4887" max="4887" width="9.140625" style="54"/>
    <col min="4888" max="4888" width="13.28515625" style="54" customWidth="1"/>
    <col min="4889" max="4889" width="9.140625" style="54"/>
    <col min="4890" max="4890" width="5.28515625" style="54" customWidth="1"/>
    <col min="4891" max="4891" width="3.85546875" style="54" customWidth="1"/>
    <col min="4892" max="4892" width="5.140625" style="54" customWidth="1"/>
    <col min="4893" max="5121" width="9.140625" style="54"/>
    <col min="5122" max="5122" width="5.42578125" style="54" customWidth="1"/>
    <col min="5123" max="5123" width="5.140625" style="54" customWidth="1"/>
    <col min="5124" max="5124" width="16.85546875" style="54" customWidth="1"/>
    <col min="5125" max="5125" width="15.85546875" style="54" customWidth="1"/>
    <col min="5126" max="5142" width="3.7109375" style="54" customWidth="1"/>
    <col min="5143" max="5143" width="9.140625" style="54"/>
    <col min="5144" max="5144" width="13.28515625" style="54" customWidth="1"/>
    <col min="5145" max="5145" width="9.140625" style="54"/>
    <col min="5146" max="5146" width="5.28515625" style="54" customWidth="1"/>
    <col min="5147" max="5147" width="3.85546875" style="54" customWidth="1"/>
    <col min="5148" max="5148" width="5.140625" style="54" customWidth="1"/>
    <col min="5149" max="5377" width="9.140625" style="54"/>
    <col min="5378" max="5378" width="5.42578125" style="54" customWidth="1"/>
    <col min="5379" max="5379" width="5.140625" style="54" customWidth="1"/>
    <col min="5380" max="5380" width="16.85546875" style="54" customWidth="1"/>
    <col min="5381" max="5381" width="15.85546875" style="54" customWidth="1"/>
    <col min="5382" max="5398" width="3.7109375" style="54" customWidth="1"/>
    <col min="5399" max="5399" width="9.140625" style="54"/>
    <col min="5400" max="5400" width="13.28515625" style="54" customWidth="1"/>
    <col min="5401" max="5401" width="9.140625" style="54"/>
    <col min="5402" max="5402" width="5.28515625" style="54" customWidth="1"/>
    <col min="5403" max="5403" width="3.85546875" style="54" customWidth="1"/>
    <col min="5404" max="5404" width="5.140625" style="54" customWidth="1"/>
    <col min="5405" max="5633" width="9.140625" style="54"/>
    <col min="5634" max="5634" width="5.42578125" style="54" customWidth="1"/>
    <col min="5635" max="5635" width="5.140625" style="54" customWidth="1"/>
    <col min="5636" max="5636" width="16.85546875" style="54" customWidth="1"/>
    <col min="5637" max="5637" width="15.85546875" style="54" customWidth="1"/>
    <col min="5638" max="5654" width="3.7109375" style="54" customWidth="1"/>
    <col min="5655" max="5655" width="9.140625" style="54"/>
    <col min="5656" max="5656" width="13.28515625" style="54" customWidth="1"/>
    <col min="5657" max="5657" width="9.140625" style="54"/>
    <col min="5658" max="5658" width="5.28515625" style="54" customWidth="1"/>
    <col min="5659" max="5659" width="3.85546875" style="54" customWidth="1"/>
    <col min="5660" max="5660" width="5.140625" style="54" customWidth="1"/>
    <col min="5661" max="5889" width="9.140625" style="54"/>
    <col min="5890" max="5890" width="5.42578125" style="54" customWidth="1"/>
    <col min="5891" max="5891" width="5.140625" style="54" customWidth="1"/>
    <col min="5892" max="5892" width="16.85546875" style="54" customWidth="1"/>
    <col min="5893" max="5893" width="15.85546875" style="54" customWidth="1"/>
    <col min="5894" max="5910" width="3.7109375" style="54" customWidth="1"/>
    <col min="5911" max="5911" width="9.140625" style="54"/>
    <col min="5912" max="5912" width="13.28515625" style="54" customWidth="1"/>
    <col min="5913" max="5913" width="9.140625" style="54"/>
    <col min="5914" max="5914" width="5.28515625" style="54" customWidth="1"/>
    <col min="5915" max="5915" width="3.85546875" style="54" customWidth="1"/>
    <col min="5916" max="5916" width="5.140625" style="54" customWidth="1"/>
    <col min="5917" max="6145" width="9.140625" style="54"/>
    <col min="6146" max="6146" width="5.42578125" style="54" customWidth="1"/>
    <col min="6147" max="6147" width="5.140625" style="54" customWidth="1"/>
    <col min="6148" max="6148" width="16.85546875" style="54" customWidth="1"/>
    <col min="6149" max="6149" width="15.85546875" style="54" customWidth="1"/>
    <col min="6150" max="6166" width="3.7109375" style="54" customWidth="1"/>
    <col min="6167" max="6167" width="9.140625" style="54"/>
    <col min="6168" max="6168" width="13.28515625" style="54" customWidth="1"/>
    <col min="6169" max="6169" width="9.140625" style="54"/>
    <col min="6170" max="6170" width="5.28515625" style="54" customWidth="1"/>
    <col min="6171" max="6171" width="3.85546875" style="54" customWidth="1"/>
    <col min="6172" max="6172" width="5.140625" style="54" customWidth="1"/>
    <col min="6173" max="6401" width="9.140625" style="54"/>
    <col min="6402" max="6402" width="5.42578125" style="54" customWidth="1"/>
    <col min="6403" max="6403" width="5.140625" style="54" customWidth="1"/>
    <col min="6404" max="6404" width="16.85546875" style="54" customWidth="1"/>
    <col min="6405" max="6405" width="15.85546875" style="54" customWidth="1"/>
    <col min="6406" max="6422" width="3.7109375" style="54" customWidth="1"/>
    <col min="6423" max="6423" width="9.140625" style="54"/>
    <col min="6424" max="6424" width="13.28515625" style="54" customWidth="1"/>
    <col min="6425" max="6425" width="9.140625" style="54"/>
    <col min="6426" max="6426" width="5.28515625" style="54" customWidth="1"/>
    <col min="6427" max="6427" width="3.85546875" style="54" customWidth="1"/>
    <col min="6428" max="6428" width="5.140625" style="54" customWidth="1"/>
    <col min="6429" max="6657" width="9.140625" style="54"/>
    <col min="6658" max="6658" width="5.42578125" style="54" customWidth="1"/>
    <col min="6659" max="6659" width="5.140625" style="54" customWidth="1"/>
    <col min="6660" max="6660" width="16.85546875" style="54" customWidth="1"/>
    <col min="6661" max="6661" width="15.85546875" style="54" customWidth="1"/>
    <col min="6662" max="6678" width="3.7109375" style="54" customWidth="1"/>
    <col min="6679" max="6679" width="9.140625" style="54"/>
    <col min="6680" max="6680" width="13.28515625" style="54" customWidth="1"/>
    <col min="6681" max="6681" width="9.140625" style="54"/>
    <col min="6682" max="6682" width="5.28515625" style="54" customWidth="1"/>
    <col min="6683" max="6683" width="3.85546875" style="54" customWidth="1"/>
    <col min="6684" max="6684" width="5.140625" style="54" customWidth="1"/>
    <col min="6685" max="6913" width="9.140625" style="54"/>
    <col min="6914" max="6914" width="5.42578125" style="54" customWidth="1"/>
    <col min="6915" max="6915" width="5.140625" style="54" customWidth="1"/>
    <col min="6916" max="6916" width="16.85546875" style="54" customWidth="1"/>
    <col min="6917" max="6917" width="15.85546875" style="54" customWidth="1"/>
    <col min="6918" max="6934" width="3.7109375" style="54" customWidth="1"/>
    <col min="6935" max="6935" width="9.140625" style="54"/>
    <col min="6936" max="6936" width="13.28515625" style="54" customWidth="1"/>
    <col min="6937" max="6937" width="9.140625" style="54"/>
    <col min="6938" max="6938" width="5.28515625" style="54" customWidth="1"/>
    <col min="6939" max="6939" width="3.85546875" style="54" customWidth="1"/>
    <col min="6940" max="6940" width="5.140625" style="54" customWidth="1"/>
    <col min="6941" max="7169" width="9.140625" style="54"/>
    <col min="7170" max="7170" width="5.42578125" style="54" customWidth="1"/>
    <col min="7171" max="7171" width="5.140625" style="54" customWidth="1"/>
    <col min="7172" max="7172" width="16.85546875" style="54" customWidth="1"/>
    <col min="7173" max="7173" width="15.85546875" style="54" customWidth="1"/>
    <col min="7174" max="7190" width="3.7109375" style="54" customWidth="1"/>
    <col min="7191" max="7191" width="9.140625" style="54"/>
    <col min="7192" max="7192" width="13.28515625" style="54" customWidth="1"/>
    <col min="7193" max="7193" width="9.140625" style="54"/>
    <col min="7194" max="7194" width="5.28515625" style="54" customWidth="1"/>
    <col min="7195" max="7195" width="3.85546875" style="54" customWidth="1"/>
    <col min="7196" max="7196" width="5.140625" style="54" customWidth="1"/>
    <col min="7197" max="7425" width="9.140625" style="54"/>
    <col min="7426" max="7426" width="5.42578125" style="54" customWidth="1"/>
    <col min="7427" max="7427" width="5.140625" style="54" customWidth="1"/>
    <col min="7428" max="7428" width="16.85546875" style="54" customWidth="1"/>
    <col min="7429" max="7429" width="15.85546875" style="54" customWidth="1"/>
    <col min="7430" max="7446" width="3.7109375" style="54" customWidth="1"/>
    <col min="7447" max="7447" width="9.140625" style="54"/>
    <col min="7448" max="7448" width="13.28515625" style="54" customWidth="1"/>
    <col min="7449" max="7449" width="9.140625" style="54"/>
    <col min="7450" max="7450" width="5.28515625" style="54" customWidth="1"/>
    <col min="7451" max="7451" width="3.85546875" style="54" customWidth="1"/>
    <col min="7452" max="7452" width="5.140625" style="54" customWidth="1"/>
    <col min="7453" max="7681" width="9.140625" style="54"/>
    <col min="7682" max="7682" width="5.42578125" style="54" customWidth="1"/>
    <col min="7683" max="7683" width="5.140625" style="54" customWidth="1"/>
    <col min="7684" max="7684" width="16.85546875" style="54" customWidth="1"/>
    <col min="7685" max="7685" width="15.85546875" style="54" customWidth="1"/>
    <col min="7686" max="7702" width="3.7109375" style="54" customWidth="1"/>
    <col min="7703" max="7703" width="9.140625" style="54"/>
    <col min="7704" max="7704" width="13.28515625" style="54" customWidth="1"/>
    <col min="7705" max="7705" width="9.140625" style="54"/>
    <col min="7706" max="7706" width="5.28515625" style="54" customWidth="1"/>
    <col min="7707" max="7707" width="3.85546875" style="54" customWidth="1"/>
    <col min="7708" max="7708" width="5.140625" style="54" customWidth="1"/>
    <col min="7709" max="7937" width="9.140625" style="54"/>
    <col min="7938" max="7938" width="5.42578125" style="54" customWidth="1"/>
    <col min="7939" max="7939" width="5.140625" style="54" customWidth="1"/>
    <col min="7940" max="7940" width="16.85546875" style="54" customWidth="1"/>
    <col min="7941" max="7941" width="15.85546875" style="54" customWidth="1"/>
    <col min="7942" max="7958" width="3.7109375" style="54" customWidth="1"/>
    <col min="7959" max="7959" width="9.140625" style="54"/>
    <col min="7960" max="7960" width="13.28515625" style="54" customWidth="1"/>
    <col min="7961" max="7961" width="9.140625" style="54"/>
    <col min="7962" max="7962" width="5.28515625" style="54" customWidth="1"/>
    <col min="7963" max="7963" width="3.85546875" style="54" customWidth="1"/>
    <col min="7964" max="7964" width="5.140625" style="54" customWidth="1"/>
    <col min="7965" max="8193" width="9.140625" style="54"/>
    <col min="8194" max="8194" width="5.42578125" style="54" customWidth="1"/>
    <col min="8195" max="8195" width="5.140625" style="54" customWidth="1"/>
    <col min="8196" max="8196" width="16.85546875" style="54" customWidth="1"/>
    <col min="8197" max="8197" width="15.85546875" style="54" customWidth="1"/>
    <col min="8198" max="8214" width="3.7109375" style="54" customWidth="1"/>
    <col min="8215" max="8215" width="9.140625" style="54"/>
    <col min="8216" max="8216" width="13.28515625" style="54" customWidth="1"/>
    <col min="8217" max="8217" width="9.140625" style="54"/>
    <col min="8218" max="8218" width="5.28515625" style="54" customWidth="1"/>
    <col min="8219" max="8219" width="3.85546875" style="54" customWidth="1"/>
    <col min="8220" max="8220" width="5.140625" style="54" customWidth="1"/>
    <col min="8221" max="8449" width="9.140625" style="54"/>
    <col min="8450" max="8450" width="5.42578125" style="54" customWidth="1"/>
    <col min="8451" max="8451" width="5.140625" style="54" customWidth="1"/>
    <col min="8452" max="8452" width="16.85546875" style="54" customWidth="1"/>
    <col min="8453" max="8453" width="15.85546875" style="54" customWidth="1"/>
    <col min="8454" max="8470" width="3.7109375" style="54" customWidth="1"/>
    <col min="8471" max="8471" width="9.140625" style="54"/>
    <col min="8472" max="8472" width="13.28515625" style="54" customWidth="1"/>
    <col min="8473" max="8473" width="9.140625" style="54"/>
    <col min="8474" max="8474" width="5.28515625" style="54" customWidth="1"/>
    <col min="8475" max="8475" width="3.85546875" style="54" customWidth="1"/>
    <col min="8476" max="8476" width="5.140625" style="54" customWidth="1"/>
    <col min="8477" max="8705" width="9.140625" style="54"/>
    <col min="8706" max="8706" width="5.42578125" style="54" customWidth="1"/>
    <col min="8707" max="8707" width="5.140625" style="54" customWidth="1"/>
    <col min="8708" max="8708" width="16.85546875" style="54" customWidth="1"/>
    <col min="8709" max="8709" width="15.85546875" style="54" customWidth="1"/>
    <col min="8710" max="8726" width="3.7109375" style="54" customWidth="1"/>
    <col min="8727" max="8727" width="9.140625" style="54"/>
    <col min="8728" max="8728" width="13.28515625" style="54" customWidth="1"/>
    <col min="8729" max="8729" width="9.140625" style="54"/>
    <col min="8730" max="8730" width="5.28515625" style="54" customWidth="1"/>
    <col min="8731" max="8731" width="3.85546875" style="54" customWidth="1"/>
    <col min="8732" max="8732" width="5.140625" style="54" customWidth="1"/>
    <col min="8733" max="8961" width="9.140625" style="54"/>
    <col min="8962" max="8962" width="5.42578125" style="54" customWidth="1"/>
    <col min="8963" max="8963" width="5.140625" style="54" customWidth="1"/>
    <col min="8964" max="8964" width="16.85546875" style="54" customWidth="1"/>
    <col min="8965" max="8965" width="15.85546875" style="54" customWidth="1"/>
    <col min="8966" max="8982" width="3.7109375" style="54" customWidth="1"/>
    <col min="8983" max="8983" width="9.140625" style="54"/>
    <col min="8984" max="8984" width="13.28515625" style="54" customWidth="1"/>
    <col min="8985" max="8985" width="9.140625" style="54"/>
    <col min="8986" max="8986" width="5.28515625" style="54" customWidth="1"/>
    <col min="8987" max="8987" width="3.85546875" style="54" customWidth="1"/>
    <col min="8988" max="8988" width="5.140625" style="54" customWidth="1"/>
    <col min="8989" max="9217" width="9.140625" style="54"/>
    <col min="9218" max="9218" width="5.42578125" style="54" customWidth="1"/>
    <col min="9219" max="9219" width="5.140625" style="54" customWidth="1"/>
    <col min="9220" max="9220" width="16.85546875" style="54" customWidth="1"/>
    <col min="9221" max="9221" width="15.85546875" style="54" customWidth="1"/>
    <col min="9222" max="9238" width="3.7109375" style="54" customWidth="1"/>
    <col min="9239" max="9239" width="9.140625" style="54"/>
    <col min="9240" max="9240" width="13.28515625" style="54" customWidth="1"/>
    <col min="9241" max="9241" width="9.140625" style="54"/>
    <col min="9242" max="9242" width="5.28515625" style="54" customWidth="1"/>
    <col min="9243" max="9243" width="3.85546875" style="54" customWidth="1"/>
    <col min="9244" max="9244" width="5.140625" style="54" customWidth="1"/>
    <col min="9245" max="9473" width="9.140625" style="54"/>
    <col min="9474" max="9474" width="5.42578125" style="54" customWidth="1"/>
    <col min="9475" max="9475" width="5.140625" style="54" customWidth="1"/>
    <col min="9476" max="9476" width="16.85546875" style="54" customWidth="1"/>
    <col min="9477" max="9477" width="15.85546875" style="54" customWidth="1"/>
    <col min="9478" max="9494" width="3.7109375" style="54" customWidth="1"/>
    <col min="9495" max="9495" width="9.140625" style="54"/>
    <col min="9496" max="9496" width="13.28515625" style="54" customWidth="1"/>
    <col min="9497" max="9497" width="9.140625" style="54"/>
    <col min="9498" max="9498" width="5.28515625" style="54" customWidth="1"/>
    <col min="9499" max="9499" width="3.85546875" style="54" customWidth="1"/>
    <col min="9500" max="9500" width="5.140625" style="54" customWidth="1"/>
    <col min="9501" max="9729" width="9.140625" style="54"/>
    <col min="9730" max="9730" width="5.42578125" style="54" customWidth="1"/>
    <col min="9731" max="9731" width="5.140625" style="54" customWidth="1"/>
    <col min="9732" max="9732" width="16.85546875" style="54" customWidth="1"/>
    <col min="9733" max="9733" width="15.85546875" style="54" customWidth="1"/>
    <col min="9734" max="9750" width="3.7109375" style="54" customWidth="1"/>
    <col min="9751" max="9751" width="9.140625" style="54"/>
    <col min="9752" max="9752" width="13.28515625" style="54" customWidth="1"/>
    <col min="9753" max="9753" width="9.140625" style="54"/>
    <col min="9754" max="9754" width="5.28515625" style="54" customWidth="1"/>
    <col min="9755" max="9755" width="3.85546875" style="54" customWidth="1"/>
    <col min="9756" max="9756" width="5.140625" style="54" customWidth="1"/>
    <col min="9757" max="9985" width="9.140625" style="54"/>
    <col min="9986" max="9986" width="5.42578125" style="54" customWidth="1"/>
    <col min="9987" max="9987" width="5.140625" style="54" customWidth="1"/>
    <col min="9988" max="9988" width="16.85546875" style="54" customWidth="1"/>
    <col min="9989" max="9989" width="15.85546875" style="54" customWidth="1"/>
    <col min="9990" max="10006" width="3.7109375" style="54" customWidth="1"/>
    <col min="10007" max="10007" width="9.140625" style="54"/>
    <col min="10008" max="10008" width="13.28515625" style="54" customWidth="1"/>
    <col min="10009" max="10009" width="9.140625" style="54"/>
    <col min="10010" max="10010" width="5.28515625" style="54" customWidth="1"/>
    <col min="10011" max="10011" width="3.85546875" style="54" customWidth="1"/>
    <col min="10012" max="10012" width="5.140625" style="54" customWidth="1"/>
    <col min="10013" max="10241" width="9.140625" style="54"/>
    <col min="10242" max="10242" width="5.42578125" style="54" customWidth="1"/>
    <col min="10243" max="10243" width="5.140625" style="54" customWidth="1"/>
    <col min="10244" max="10244" width="16.85546875" style="54" customWidth="1"/>
    <col min="10245" max="10245" width="15.85546875" style="54" customWidth="1"/>
    <col min="10246" max="10262" width="3.7109375" style="54" customWidth="1"/>
    <col min="10263" max="10263" width="9.140625" style="54"/>
    <col min="10264" max="10264" width="13.28515625" style="54" customWidth="1"/>
    <col min="10265" max="10265" width="9.140625" style="54"/>
    <col min="10266" max="10266" width="5.28515625" style="54" customWidth="1"/>
    <col min="10267" max="10267" width="3.85546875" style="54" customWidth="1"/>
    <col min="10268" max="10268" width="5.140625" style="54" customWidth="1"/>
    <col min="10269" max="10497" width="9.140625" style="54"/>
    <col min="10498" max="10498" width="5.42578125" style="54" customWidth="1"/>
    <col min="10499" max="10499" width="5.140625" style="54" customWidth="1"/>
    <col min="10500" max="10500" width="16.85546875" style="54" customWidth="1"/>
    <col min="10501" max="10501" width="15.85546875" style="54" customWidth="1"/>
    <col min="10502" max="10518" width="3.7109375" style="54" customWidth="1"/>
    <col min="10519" max="10519" width="9.140625" style="54"/>
    <col min="10520" max="10520" width="13.28515625" style="54" customWidth="1"/>
    <col min="10521" max="10521" width="9.140625" style="54"/>
    <col min="10522" max="10522" width="5.28515625" style="54" customWidth="1"/>
    <col min="10523" max="10523" width="3.85546875" style="54" customWidth="1"/>
    <col min="10524" max="10524" width="5.140625" style="54" customWidth="1"/>
    <col min="10525" max="10753" width="9.140625" style="54"/>
    <col min="10754" max="10754" width="5.42578125" style="54" customWidth="1"/>
    <col min="10755" max="10755" width="5.140625" style="54" customWidth="1"/>
    <col min="10756" max="10756" width="16.85546875" style="54" customWidth="1"/>
    <col min="10757" max="10757" width="15.85546875" style="54" customWidth="1"/>
    <col min="10758" max="10774" width="3.7109375" style="54" customWidth="1"/>
    <col min="10775" max="10775" width="9.140625" style="54"/>
    <col min="10776" max="10776" width="13.28515625" style="54" customWidth="1"/>
    <col min="10777" max="10777" width="9.140625" style="54"/>
    <col min="10778" max="10778" width="5.28515625" style="54" customWidth="1"/>
    <col min="10779" max="10779" width="3.85546875" style="54" customWidth="1"/>
    <col min="10780" max="10780" width="5.140625" style="54" customWidth="1"/>
    <col min="10781" max="11009" width="9.140625" style="54"/>
    <col min="11010" max="11010" width="5.42578125" style="54" customWidth="1"/>
    <col min="11011" max="11011" width="5.140625" style="54" customWidth="1"/>
    <col min="11012" max="11012" width="16.85546875" style="54" customWidth="1"/>
    <col min="11013" max="11013" width="15.85546875" style="54" customWidth="1"/>
    <col min="11014" max="11030" width="3.7109375" style="54" customWidth="1"/>
    <col min="11031" max="11031" width="9.140625" style="54"/>
    <col min="11032" max="11032" width="13.28515625" style="54" customWidth="1"/>
    <col min="11033" max="11033" width="9.140625" style="54"/>
    <col min="11034" max="11034" width="5.28515625" style="54" customWidth="1"/>
    <col min="11035" max="11035" width="3.85546875" style="54" customWidth="1"/>
    <col min="11036" max="11036" width="5.140625" style="54" customWidth="1"/>
    <col min="11037" max="11265" width="9.140625" style="54"/>
    <col min="11266" max="11266" width="5.42578125" style="54" customWidth="1"/>
    <col min="11267" max="11267" width="5.140625" style="54" customWidth="1"/>
    <col min="11268" max="11268" width="16.85546875" style="54" customWidth="1"/>
    <col min="11269" max="11269" width="15.85546875" style="54" customWidth="1"/>
    <col min="11270" max="11286" width="3.7109375" style="54" customWidth="1"/>
    <col min="11287" max="11287" width="9.140625" style="54"/>
    <col min="11288" max="11288" width="13.28515625" style="54" customWidth="1"/>
    <col min="11289" max="11289" width="9.140625" style="54"/>
    <col min="11290" max="11290" width="5.28515625" style="54" customWidth="1"/>
    <col min="11291" max="11291" width="3.85546875" style="54" customWidth="1"/>
    <col min="11292" max="11292" width="5.140625" style="54" customWidth="1"/>
    <col min="11293" max="11521" width="9.140625" style="54"/>
    <col min="11522" max="11522" width="5.42578125" style="54" customWidth="1"/>
    <col min="11523" max="11523" width="5.140625" style="54" customWidth="1"/>
    <col min="11524" max="11524" width="16.85546875" style="54" customWidth="1"/>
    <col min="11525" max="11525" width="15.85546875" style="54" customWidth="1"/>
    <col min="11526" max="11542" width="3.7109375" style="54" customWidth="1"/>
    <col min="11543" max="11543" width="9.140625" style="54"/>
    <col min="11544" max="11544" width="13.28515625" style="54" customWidth="1"/>
    <col min="11545" max="11545" width="9.140625" style="54"/>
    <col min="11546" max="11546" width="5.28515625" style="54" customWidth="1"/>
    <col min="11547" max="11547" width="3.85546875" style="54" customWidth="1"/>
    <col min="11548" max="11548" width="5.140625" style="54" customWidth="1"/>
    <col min="11549" max="11777" width="9.140625" style="54"/>
    <col min="11778" max="11778" width="5.42578125" style="54" customWidth="1"/>
    <col min="11779" max="11779" width="5.140625" style="54" customWidth="1"/>
    <col min="11780" max="11780" width="16.85546875" style="54" customWidth="1"/>
    <col min="11781" max="11781" width="15.85546875" style="54" customWidth="1"/>
    <col min="11782" max="11798" width="3.7109375" style="54" customWidth="1"/>
    <col min="11799" max="11799" width="9.140625" style="54"/>
    <col min="11800" max="11800" width="13.28515625" style="54" customWidth="1"/>
    <col min="11801" max="11801" width="9.140625" style="54"/>
    <col min="11802" max="11802" width="5.28515625" style="54" customWidth="1"/>
    <col min="11803" max="11803" width="3.85546875" style="54" customWidth="1"/>
    <col min="11804" max="11804" width="5.140625" style="54" customWidth="1"/>
    <col min="11805" max="12033" width="9.140625" style="54"/>
    <col min="12034" max="12034" width="5.42578125" style="54" customWidth="1"/>
    <col min="12035" max="12035" width="5.140625" style="54" customWidth="1"/>
    <col min="12036" max="12036" width="16.85546875" style="54" customWidth="1"/>
    <col min="12037" max="12037" width="15.85546875" style="54" customWidth="1"/>
    <col min="12038" max="12054" width="3.7109375" style="54" customWidth="1"/>
    <col min="12055" max="12055" width="9.140625" style="54"/>
    <col min="12056" max="12056" width="13.28515625" style="54" customWidth="1"/>
    <col min="12057" max="12057" width="9.140625" style="54"/>
    <col min="12058" max="12058" width="5.28515625" style="54" customWidth="1"/>
    <col min="12059" max="12059" width="3.85546875" style="54" customWidth="1"/>
    <col min="12060" max="12060" width="5.140625" style="54" customWidth="1"/>
    <col min="12061" max="12289" width="9.140625" style="54"/>
    <col min="12290" max="12290" width="5.42578125" style="54" customWidth="1"/>
    <col min="12291" max="12291" width="5.140625" style="54" customWidth="1"/>
    <col min="12292" max="12292" width="16.85546875" style="54" customWidth="1"/>
    <col min="12293" max="12293" width="15.85546875" style="54" customWidth="1"/>
    <col min="12294" max="12310" width="3.7109375" style="54" customWidth="1"/>
    <col min="12311" max="12311" width="9.140625" style="54"/>
    <col min="12312" max="12312" width="13.28515625" style="54" customWidth="1"/>
    <col min="12313" max="12313" width="9.140625" style="54"/>
    <col min="12314" max="12314" width="5.28515625" style="54" customWidth="1"/>
    <col min="12315" max="12315" width="3.85546875" style="54" customWidth="1"/>
    <col min="12316" max="12316" width="5.140625" style="54" customWidth="1"/>
    <col min="12317" max="12545" width="9.140625" style="54"/>
    <col min="12546" max="12546" width="5.42578125" style="54" customWidth="1"/>
    <col min="12547" max="12547" width="5.140625" style="54" customWidth="1"/>
    <col min="12548" max="12548" width="16.85546875" style="54" customWidth="1"/>
    <col min="12549" max="12549" width="15.85546875" style="54" customWidth="1"/>
    <col min="12550" max="12566" width="3.7109375" style="54" customWidth="1"/>
    <col min="12567" max="12567" width="9.140625" style="54"/>
    <col min="12568" max="12568" width="13.28515625" style="54" customWidth="1"/>
    <col min="12569" max="12569" width="9.140625" style="54"/>
    <col min="12570" max="12570" width="5.28515625" style="54" customWidth="1"/>
    <col min="12571" max="12571" width="3.85546875" style="54" customWidth="1"/>
    <col min="12572" max="12572" width="5.140625" style="54" customWidth="1"/>
    <col min="12573" max="12801" width="9.140625" style="54"/>
    <col min="12802" max="12802" width="5.42578125" style="54" customWidth="1"/>
    <col min="12803" max="12803" width="5.140625" style="54" customWidth="1"/>
    <col min="12804" max="12804" width="16.85546875" style="54" customWidth="1"/>
    <col min="12805" max="12805" width="15.85546875" style="54" customWidth="1"/>
    <col min="12806" max="12822" width="3.7109375" style="54" customWidth="1"/>
    <col min="12823" max="12823" width="9.140625" style="54"/>
    <col min="12824" max="12824" width="13.28515625" style="54" customWidth="1"/>
    <col min="12825" max="12825" width="9.140625" style="54"/>
    <col min="12826" max="12826" width="5.28515625" style="54" customWidth="1"/>
    <col min="12827" max="12827" width="3.85546875" style="54" customWidth="1"/>
    <col min="12828" max="12828" width="5.140625" style="54" customWidth="1"/>
    <col min="12829" max="13057" width="9.140625" style="54"/>
    <col min="13058" max="13058" width="5.42578125" style="54" customWidth="1"/>
    <col min="13059" max="13059" width="5.140625" style="54" customWidth="1"/>
    <col min="13060" max="13060" width="16.85546875" style="54" customWidth="1"/>
    <col min="13061" max="13061" width="15.85546875" style="54" customWidth="1"/>
    <col min="13062" max="13078" width="3.7109375" style="54" customWidth="1"/>
    <col min="13079" max="13079" width="9.140625" style="54"/>
    <col min="13080" max="13080" width="13.28515625" style="54" customWidth="1"/>
    <col min="13081" max="13081" width="9.140625" style="54"/>
    <col min="13082" max="13082" width="5.28515625" style="54" customWidth="1"/>
    <col min="13083" max="13083" width="3.85546875" style="54" customWidth="1"/>
    <col min="13084" max="13084" width="5.140625" style="54" customWidth="1"/>
    <col min="13085" max="13313" width="9.140625" style="54"/>
    <col min="13314" max="13314" width="5.42578125" style="54" customWidth="1"/>
    <col min="13315" max="13315" width="5.140625" style="54" customWidth="1"/>
    <col min="13316" max="13316" width="16.85546875" style="54" customWidth="1"/>
    <col min="13317" max="13317" width="15.85546875" style="54" customWidth="1"/>
    <col min="13318" max="13334" width="3.7109375" style="54" customWidth="1"/>
    <col min="13335" max="13335" width="9.140625" style="54"/>
    <col min="13336" max="13336" width="13.28515625" style="54" customWidth="1"/>
    <col min="13337" max="13337" width="9.140625" style="54"/>
    <col min="13338" max="13338" width="5.28515625" style="54" customWidth="1"/>
    <col min="13339" max="13339" width="3.85546875" style="54" customWidth="1"/>
    <col min="13340" max="13340" width="5.140625" style="54" customWidth="1"/>
    <col min="13341" max="13569" width="9.140625" style="54"/>
    <col min="13570" max="13570" width="5.42578125" style="54" customWidth="1"/>
    <col min="13571" max="13571" width="5.140625" style="54" customWidth="1"/>
    <col min="13572" max="13572" width="16.85546875" style="54" customWidth="1"/>
    <col min="13573" max="13573" width="15.85546875" style="54" customWidth="1"/>
    <col min="13574" max="13590" width="3.7109375" style="54" customWidth="1"/>
    <col min="13591" max="13591" width="9.140625" style="54"/>
    <col min="13592" max="13592" width="13.28515625" style="54" customWidth="1"/>
    <col min="13593" max="13593" width="9.140625" style="54"/>
    <col min="13594" max="13594" width="5.28515625" style="54" customWidth="1"/>
    <col min="13595" max="13595" width="3.85546875" style="54" customWidth="1"/>
    <col min="13596" max="13596" width="5.140625" style="54" customWidth="1"/>
    <col min="13597" max="13825" width="9.140625" style="54"/>
    <col min="13826" max="13826" width="5.42578125" style="54" customWidth="1"/>
    <col min="13827" max="13827" width="5.140625" style="54" customWidth="1"/>
    <col min="13828" max="13828" width="16.85546875" style="54" customWidth="1"/>
    <col min="13829" max="13829" width="15.85546875" style="54" customWidth="1"/>
    <col min="13830" max="13846" width="3.7109375" style="54" customWidth="1"/>
    <col min="13847" max="13847" width="9.140625" style="54"/>
    <col min="13848" max="13848" width="13.28515625" style="54" customWidth="1"/>
    <col min="13849" max="13849" width="9.140625" style="54"/>
    <col min="13850" max="13850" width="5.28515625" style="54" customWidth="1"/>
    <col min="13851" max="13851" width="3.85546875" style="54" customWidth="1"/>
    <col min="13852" max="13852" width="5.140625" style="54" customWidth="1"/>
    <col min="13853" max="14081" width="9.140625" style="54"/>
    <col min="14082" max="14082" width="5.42578125" style="54" customWidth="1"/>
    <col min="14083" max="14083" width="5.140625" style="54" customWidth="1"/>
    <col min="14084" max="14084" width="16.85546875" style="54" customWidth="1"/>
    <col min="14085" max="14085" width="15.85546875" style="54" customWidth="1"/>
    <col min="14086" max="14102" width="3.7109375" style="54" customWidth="1"/>
    <col min="14103" max="14103" width="9.140625" style="54"/>
    <col min="14104" max="14104" width="13.28515625" style="54" customWidth="1"/>
    <col min="14105" max="14105" width="9.140625" style="54"/>
    <col min="14106" max="14106" width="5.28515625" style="54" customWidth="1"/>
    <col min="14107" max="14107" width="3.85546875" style="54" customWidth="1"/>
    <col min="14108" max="14108" width="5.140625" style="54" customWidth="1"/>
    <col min="14109" max="14337" width="9.140625" style="54"/>
    <col min="14338" max="14338" width="5.42578125" style="54" customWidth="1"/>
    <col min="14339" max="14339" width="5.140625" style="54" customWidth="1"/>
    <col min="14340" max="14340" width="16.85546875" style="54" customWidth="1"/>
    <col min="14341" max="14341" width="15.85546875" style="54" customWidth="1"/>
    <col min="14342" max="14358" width="3.7109375" style="54" customWidth="1"/>
    <col min="14359" max="14359" width="9.140625" style="54"/>
    <col min="14360" max="14360" width="13.28515625" style="54" customWidth="1"/>
    <col min="14361" max="14361" width="9.140625" style="54"/>
    <col min="14362" max="14362" width="5.28515625" style="54" customWidth="1"/>
    <col min="14363" max="14363" width="3.85546875" style="54" customWidth="1"/>
    <col min="14364" max="14364" width="5.140625" style="54" customWidth="1"/>
    <col min="14365" max="14593" width="9.140625" style="54"/>
    <col min="14594" max="14594" width="5.42578125" style="54" customWidth="1"/>
    <col min="14595" max="14595" width="5.140625" style="54" customWidth="1"/>
    <col min="14596" max="14596" width="16.85546875" style="54" customWidth="1"/>
    <col min="14597" max="14597" width="15.85546875" style="54" customWidth="1"/>
    <col min="14598" max="14614" width="3.7109375" style="54" customWidth="1"/>
    <col min="14615" max="14615" width="9.140625" style="54"/>
    <col min="14616" max="14616" width="13.28515625" style="54" customWidth="1"/>
    <col min="14617" max="14617" width="9.140625" style="54"/>
    <col min="14618" max="14618" width="5.28515625" style="54" customWidth="1"/>
    <col min="14619" max="14619" width="3.85546875" style="54" customWidth="1"/>
    <col min="14620" max="14620" width="5.140625" style="54" customWidth="1"/>
    <col min="14621" max="14849" width="9.140625" style="54"/>
    <col min="14850" max="14850" width="5.42578125" style="54" customWidth="1"/>
    <col min="14851" max="14851" width="5.140625" style="54" customWidth="1"/>
    <col min="14852" max="14852" width="16.85546875" style="54" customWidth="1"/>
    <col min="14853" max="14853" width="15.85546875" style="54" customWidth="1"/>
    <col min="14854" max="14870" width="3.7109375" style="54" customWidth="1"/>
    <col min="14871" max="14871" width="9.140625" style="54"/>
    <col min="14872" max="14872" width="13.28515625" style="54" customWidth="1"/>
    <col min="14873" max="14873" width="9.140625" style="54"/>
    <col min="14874" max="14874" width="5.28515625" style="54" customWidth="1"/>
    <col min="14875" max="14875" width="3.85546875" style="54" customWidth="1"/>
    <col min="14876" max="14876" width="5.140625" style="54" customWidth="1"/>
    <col min="14877" max="15105" width="9.140625" style="54"/>
    <col min="15106" max="15106" width="5.42578125" style="54" customWidth="1"/>
    <col min="15107" max="15107" width="5.140625" style="54" customWidth="1"/>
    <col min="15108" max="15108" width="16.85546875" style="54" customWidth="1"/>
    <col min="15109" max="15109" width="15.85546875" style="54" customWidth="1"/>
    <col min="15110" max="15126" width="3.7109375" style="54" customWidth="1"/>
    <col min="15127" max="15127" width="9.140625" style="54"/>
    <col min="15128" max="15128" width="13.28515625" style="54" customWidth="1"/>
    <col min="15129" max="15129" width="9.140625" style="54"/>
    <col min="15130" max="15130" width="5.28515625" style="54" customWidth="1"/>
    <col min="15131" max="15131" width="3.85546875" style="54" customWidth="1"/>
    <col min="15132" max="15132" width="5.140625" style="54" customWidth="1"/>
    <col min="15133" max="15361" width="9.140625" style="54"/>
    <col min="15362" max="15362" width="5.42578125" style="54" customWidth="1"/>
    <col min="15363" max="15363" width="5.140625" style="54" customWidth="1"/>
    <col min="15364" max="15364" width="16.85546875" style="54" customWidth="1"/>
    <col min="15365" max="15365" width="15.85546875" style="54" customWidth="1"/>
    <col min="15366" max="15382" width="3.7109375" style="54" customWidth="1"/>
    <col min="15383" max="15383" width="9.140625" style="54"/>
    <col min="15384" max="15384" width="13.28515625" style="54" customWidth="1"/>
    <col min="15385" max="15385" width="9.140625" style="54"/>
    <col min="15386" max="15386" width="5.28515625" style="54" customWidth="1"/>
    <col min="15387" max="15387" width="3.85546875" style="54" customWidth="1"/>
    <col min="15388" max="15388" width="5.140625" style="54" customWidth="1"/>
    <col min="15389" max="15617" width="9.140625" style="54"/>
    <col min="15618" max="15618" width="5.42578125" style="54" customWidth="1"/>
    <col min="15619" max="15619" width="5.140625" style="54" customWidth="1"/>
    <col min="15620" max="15620" width="16.85546875" style="54" customWidth="1"/>
    <col min="15621" max="15621" width="15.85546875" style="54" customWidth="1"/>
    <col min="15622" max="15638" width="3.7109375" style="54" customWidth="1"/>
    <col min="15639" max="15639" width="9.140625" style="54"/>
    <col min="15640" max="15640" width="13.28515625" style="54" customWidth="1"/>
    <col min="15641" max="15641" width="9.140625" style="54"/>
    <col min="15642" max="15642" width="5.28515625" style="54" customWidth="1"/>
    <col min="15643" max="15643" width="3.85546875" style="54" customWidth="1"/>
    <col min="15644" max="15644" width="5.140625" style="54" customWidth="1"/>
    <col min="15645" max="15873" width="9.140625" style="54"/>
    <col min="15874" max="15874" width="5.42578125" style="54" customWidth="1"/>
    <col min="15875" max="15875" width="5.140625" style="54" customWidth="1"/>
    <col min="15876" max="15876" width="16.85546875" style="54" customWidth="1"/>
    <col min="15877" max="15877" width="15.85546875" style="54" customWidth="1"/>
    <col min="15878" max="15894" width="3.7109375" style="54" customWidth="1"/>
    <col min="15895" max="15895" width="9.140625" style="54"/>
    <col min="15896" max="15896" width="13.28515625" style="54" customWidth="1"/>
    <col min="15897" max="15897" width="9.140625" style="54"/>
    <col min="15898" max="15898" width="5.28515625" style="54" customWidth="1"/>
    <col min="15899" max="15899" width="3.85546875" style="54" customWidth="1"/>
    <col min="15900" max="15900" width="5.140625" style="54" customWidth="1"/>
    <col min="15901" max="16129" width="9.140625" style="54"/>
    <col min="16130" max="16130" width="5.42578125" style="54" customWidth="1"/>
    <col min="16131" max="16131" width="5.140625" style="54" customWidth="1"/>
    <col min="16132" max="16132" width="16.85546875" style="54" customWidth="1"/>
    <col min="16133" max="16133" width="15.85546875" style="54" customWidth="1"/>
    <col min="16134" max="16150" width="3.7109375" style="54" customWidth="1"/>
    <col min="16151" max="16151" width="9.140625" style="54"/>
    <col min="16152" max="16152" width="13.28515625" style="54" customWidth="1"/>
    <col min="16153" max="16153" width="9.140625" style="54"/>
    <col min="16154" max="16154" width="5.28515625" style="54" customWidth="1"/>
    <col min="16155" max="16155" width="3.85546875" style="54" customWidth="1"/>
    <col min="16156" max="16156" width="5.140625" style="54" customWidth="1"/>
    <col min="16157" max="16384" width="9.140625" style="54"/>
  </cols>
  <sheetData>
    <row r="1" spans="2:29">
      <c r="B1" s="50"/>
      <c r="C1" s="51"/>
      <c r="D1" s="51" t="s">
        <v>88</v>
      </c>
      <c r="E1" s="52" t="s">
        <v>89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3"/>
    </row>
    <row r="2" spans="2:29">
      <c r="B2" s="55"/>
      <c r="D2" s="54" t="s">
        <v>90</v>
      </c>
      <c r="E2" s="56"/>
      <c r="AC2" s="57"/>
    </row>
    <row r="3" spans="2:29" ht="14.1" thickBot="1">
      <c r="B3" s="55"/>
      <c r="AC3" s="57"/>
    </row>
    <row r="4" spans="2:29" ht="14.1" thickBot="1">
      <c r="B4" s="55"/>
      <c r="D4" s="58">
        <f>IF(ProyeccionAcueducto!E110&lt;0,ProyeccionAcueducto!E110*-1,ProyeccionAcueducto!E110)</f>
        <v>0</v>
      </c>
      <c r="E4" s="182" t="str">
        <f>X7&amp;Y7&amp;X8&amp;Y8&amp;X9&amp;Y9&amp;X10&amp;Y10&amp;X11&amp;Y11&amp;X12&amp;Y12&amp;X13&amp;Y13&amp;X14&amp;Y14&amp;X15&amp;Y15&amp;" "&amp;IF(X16="UN","Peso",E1)&amp;" "&amp;D7&amp;E2</f>
        <v xml:space="preserve"> CERO  pesos, 00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AC4" s="57"/>
    </row>
    <row r="5" spans="2:29">
      <c r="B5" s="55"/>
      <c r="D5" s="59">
        <f>ROUNDDOWN(D4,0)</f>
        <v>0</v>
      </c>
      <c r="E5" s="54" t="str">
        <f>PROPER(TEXT(E4,""))</f>
        <v xml:space="preserve"> Cero  Pesos, 00</v>
      </c>
      <c r="AC5" s="57"/>
    </row>
    <row r="6" spans="2:29">
      <c r="B6" s="55"/>
      <c r="D6" s="59">
        <f>ROUND(+D4-D5,2)</f>
        <v>0</v>
      </c>
      <c r="W6" s="60">
        <f>IF(W7&lt;&gt;0,1,7)</f>
        <v>7</v>
      </c>
      <c r="AC6" s="57"/>
    </row>
    <row r="7" spans="2:29">
      <c r="B7" s="55"/>
      <c r="D7" s="60" t="str">
        <f>IF(D6=0,"00",TEXT(D6*100,"00"))</f>
        <v>00</v>
      </c>
      <c r="E7" s="54" t="s">
        <v>91</v>
      </c>
      <c r="F7" s="61">
        <f>IF(D4&gt;99999999.99,ROUNDDOWN(D4/100000000,0),0)</f>
        <v>0</v>
      </c>
      <c r="G7" s="62" t="str">
        <f>TEXT(F7,"0")</f>
        <v>0</v>
      </c>
      <c r="W7" s="61">
        <f>SUM(F7:V7)</f>
        <v>0</v>
      </c>
      <c r="X7" s="54" t="str">
        <f>IF(W7=0,"",IF(AB9=100,"cien",IF(W7=1,"ciento",VLOOKUP(W7,$B$57:$D$65,3,FALSE))))</f>
        <v/>
      </c>
      <c r="Y7" s="54" t="str">
        <f>IF(X7&lt;&gt;""," ","")</f>
        <v/>
      </c>
      <c r="AC7" s="57"/>
    </row>
    <row r="8" spans="2:29">
      <c r="B8" s="55"/>
      <c r="D8" s="61"/>
      <c r="E8" s="54" t="s">
        <v>92</v>
      </c>
      <c r="F8" s="54">
        <f>IF(F7=0,0,IF(F7&lt;&gt;0,MID(D4,2,1),D4/10000000))</f>
        <v>0</v>
      </c>
      <c r="G8" s="63">
        <f>VALUE(F8)</f>
        <v>0</v>
      </c>
      <c r="H8" s="64">
        <f>IF(D4&lt;=99999999.99,ROUNDDOWN(D4/10000000,0),0)</f>
        <v>0</v>
      </c>
      <c r="I8" s="62" t="str">
        <f>TEXT(H8,"0")</f>
        <v>0</v>
      </c>
      <c r="W8" s="61">
        <f t="shared" ref="W8:W15" si="0">SUM(F8:V8)</f>
        <v>0</v>
      </c>
      <c r="X8" s="54" t="str">
        <f>IF(W8=0,"",IF(W8&gt;=3,VLOOKUP(W8,$B$49:$D$55,3,FALSE),IF(W8&lt;=2,VLOOKUP($Z$9,$C$19:$D$47,2,FALSE))))</f>
        <v/>
      </c>
      <c r="Y8" s="54" t="str">
        <f>IF(AB9=0,"",IF(AA9=0," millones ",IF(W9=0," millones ",IF(Z9&gt;=30," y ",IF(W8=0,"",IF($Z$9&lt;30," millones ",""))))))</f>
        <v/>
      </c>
      <c r="AC8" s="57"/>
    </row>
    <row r="9" spans="2:29">
      <c r="B9" s="55"/>
      <c r="E9" s="54" t="s">
        <v>93</v>
      </c>
      <c r="F9" s="54">
        <f>IF(F7=0,0,IF(F8&gt;=1,MID(D4,3,1),D4/1000000))</f>
        <v>0</v>
      </c>
      <c r="G9" s="63">
        <f t="shared" ref="G9:I15" si="1">VALUE(F9)</f>
        <v>0</v>
      </c>
      <c r="H9" s="54">
        <f>IF(H8=0,0,IF(H8&lt;&gt;0,MID(D4,2,1),D4/1000000))</f>
        <v>0</v>
      </c>
      <c r="I9" s="63">
        <f t="shared" si="1"/>
        <v>0</v>
      </c>
      <c r="J9" s="64">
        <f>IF(D4&lt;=9999999.99,ROUNDDOWN(D4/1000000,0),0)</f>
        <v>0</v>
      </c>
      <c r="K9" s="62" t="str">
        <f>TEXT(J9,"0")</f>
        <v>0</v>
      </c>
      <c r="W9" s="61">
        <f t="shared" si="0"/>
        <v>0</v>
      </c>
      <c r="X9" s="54" t="str">
        <f>IF(W9=0,"",IF(Z9&lt;10,VLOOKUP(W9,$C$19:$D$27,2,FALSE),IF(Z9&lt;=30,"",IF(Z9=11,"",IF(W9=1,"un ",VLOOKUP(W9,$C$19:$D$27,2,FALSE))))))</f>
        <v/>
      </c>
      <c r="Y9" s="54" t="str">
        <f>IF(AB9=1," millon ",IF(X9&lt;&gt;""," millones ",""))</f>
        <v/>
      </c>
      <c r="Z9" s="54">
        <f>+W8*10+W9</f>
        <v>0</v>
      </c>
      <c r="AA9" s="61">
        <f>+W8+W9</f>
        <v>0</v>
      </c>
      <c r="AB9" s="54">
        <f>+W7*100+W8*10+W9*1</f>
        <v>0</v>
      </c>
      <c r="AC9" s="57"/>
    </row>
    <row r="10" spans="2:29">
      <c r="B10" s="55"/>
      <c r="E10" s="54" t="s">
        <v>94</v>
      </c>
      <c r="F10" s="54">
        <f>IF(F7=0,0,IF(F9&gt;=1,MID(D4,4,1),D4/100000))</f>
        <v>0</v>
      </c>
      <c r="G10" s="63">
        <f t="shared" si="1"/>
        <v>0</v>
      </c>
      <c r="H10" s="54">
        <f>IF(H8=0,0,IF(H9&gt;=1,MID(D4,3,1),D4/100000))</f>
        <v>0</v>
      </c>
      <c r="I10" s="63">
        <f t="shared" si="1"/>
        <v>0</v>
      </c>
      <c r="J10" s="54">
        <f>IF(J9=0,0,IF(J9&gt;=1,MID(D4,2,1),D4/100000))</f>
        <v>0</v>
      </c>
      <c r="K10" s="63">
        <f t="shared" ref="K10:K15" si="2">VALUE(J10)</f>
        <v>0</v>
      </c>
      <c r="L10" s="64">
        <f>IF(D4&lt;=999999.99,ROUNDDOWN(D4/100000,0),0)</f>
        <v>0</v>
      </c>
      <c r="M10" s="62" t="str">
        <f>TEXT(L10,"0")</f>
        <v>0</v>
      </c>
      <c r="W10" s="61">
        <f t="shared" si="0"/>
        <v>0</v>
      </c>
      <c r="X10" s="54" t="str">
        <f>IF(W10=0,"",IF(AB12=100," cien",IF(W10=1," ciento",VLOOKUP(W10,$B$57:$D$65,3,FALSE))))</f>
        <v/>
      </c>
      <c r="Y10" s="54" t="s">
        <v>95</v>
      </c>
      <c r="AC10" s="57"/>
    </row>
    <row r="11" spans="2:29">
      <c r="B11" s="55"/>
      <c r="E11" s="54" t="s">
        <v>96</v>
      </c>
      <c r="F11" s="54">
        <f>IF(F7=0,0,IF(F10&gt;=1,MID(D4,5,1),D4/10000))</f>
        <v>0</v>
      </c>
      <c r="G11" s="63">
        <f t="shared" si="1"/>
        <v>0</v>
      </c>
      <c r="H11" s="54">
        <f>IF(H8=0,0,IF(H10&gt;=1,MID(D4,4,1),D4/10000))</f>
        <v>0</v>
      </c>
      <c r="I11" s="63">
        <f t="shared" si="1"/>
        <v>0</v>
      </c>
      <c r="J11" s="54">
        <f>IF(J9=0,0,IF(J10&gt;=1,MID(D4,3,1),D4/10000))</f>
        <v>0</v>
      </c>
      <c r="K11" s="63">
        <f t="shared" si="2"/>
        <v>0</v>
      </c>
      <c r="L11" s="54">
        <f>IF(L10=0,0,IF(L10&lt;&gt;0,MID(D4,2,1),D4/10000))</f>
        <v>0</v>
      </c>
      <c r="M11" s="63">
        <f>VALUE(L11)</f>
        <v>0</v>
      </c>
      <c r="N11" s="64">
        <f>IF(D4&lt;=99999.99,ROUNDDOWN(D4/10000,0),0)</f>
        <v>0</v>
      </c>
      <c r="O11" s="62" t="str">
        <f>TEXT(N11,"0")</f>
        <v>0</v>
      </c>
      <c r="W11" s="61">
        <f t="shared" si="0"/>
        <v>0</v>
      </c>
      <c r="X11" s="54" t="str">
        <f>IF(W11=0,"",IF(W11&gt;=3,VLOOKUP(W11,$B$49:$D$55,3,FALSE),IF(W11&lt;=2,VLOOKUP($Z$12,$C$19:$D$47,2,FALSE))))</f>
        <v/>
      </c>
      <c r="Y11" s="54" t="str">
        <f>IF(AB12=0,"",IF(AA12=W11," mil ",IF(Z12&gt;=30," y ","")))</f>
        <v/>
      </c>
      <c r="AC11" s="57"/>
    </row>
    <row r="12" spans="2:29">
      <c r="B12" s="55"/>
      <c r="E12" s="54" t="s">
        <v>97</v>
      </c>
      <c r="F12" s="54">
        <f>IF(F7=0,0,IF(F11&gt;=1,MID(D4,6,1),D4/1000))</f>
        <v>0</v>
      </c>
      <c r="G12" s="63">
        <f t="shared" si="1"/>
        <v>0</v>
      </c>
      <c r="H12" s="54">
        <f>IF(H8=0,0,IF(H11&gt;=1,MID(D4,5,1),D4/1000))</f>
        <v>0</v>
      </c>
      <c r="I12" s="63">
        <f t="shared" si="1"/>
        <v>0</v>
      </c>
      <c r="J12" s="54">
        <f>IF(J9=0,0,IF(J11&gt;=1,MID(D4,4,1),D4/1000))</f>
        <v>0</v>
      </c>
      <c r="K12" s="63">
        <f t="shared" si="2"/>
        <v>0</v>
      </c>
      <c r="L12" s="54">
        <f>IF(L10=0,0,IF(L11&gt;=1,MID(D4,3,1),D4/1000))</f>
        <v>0</v>
      </c>
      <c r="M12" s="63">
        <f>VALUE(L12)</f>
        <v>0</v>
      </c>
      <c r="N12" s="54">
        <f>IF(N11=0,0,IF(N11&gt;=1,MID(D4,2,1),D4/1000))</f>
        <v>0</v>
      </c>
      <c r="O12" s="63">
        <f>VALUE(N12)</f>
        <v>0</v>
      </c>
      <c r="P12" s="64">
        <f>IF(D4&lt;=9999.99,ROUNDDOWN(D4/1000,0),0)</f>
        <v>0</v>
      </c>
      <c r="Q12" s="62" t="str">
        <f>TEXT(P12,"0")</f>
        <v>0</v>
      </c>
      <c r="W12" s="61">
        <f t="shared" si="0"/>
        <v>0</v>
      </c>
      <c r="X12" s="54" t="str">
        <f>IF(W12=0,"",IF(Z12&lt;10,VLOOKUP(W12,$C$19:$D$27,2,FALSE),IF(Z12=21,"",IF(Z12=11,"",IF(W12=1,"un",IF(Z12&lt;=30,"",VLOOKUP(W12,$C$19:$D$27,2,FALSE)))))))</f>
        <v/>
      </c>
      <c r="Y12" s="54" t="str">
        <f>IF(AB12=0,"",IF(Y11=" mil ","",IF(AA12=0," mil ",IF(W12&lt;&gt;0," mil ",IF($Z$12&lt;30," mil ","")))))</f>
        <v/>
      </c>
      <c r="Z12" s="54">
        <f>+W11*10+W12</f>
        <v>0</v>
      </c>
      <c r="AA12" s="61">
        <f>+W11+W12</f>
        <v>0</v>
      </c>
      <c r="AB12" s="54">
        <f>+W10*100+W11*10+W12*1</f>
        <v>0</v>
      </c>
      <c r="AC12" s="57"/>
    </row>
    <row r="13" spans="2:29">
      <c r="B13" s="55"/>
      <c r="E13" s="54" t="s">
        <v>98</v>
      </c>
      <c r="F13" s="54">
        <f>IF(F7=0,0,IF(F12&gt;=1,MID(D4,7,1),D4/100))</f>
        <v>0</v>
      </c>
      <c r="G13" s="63">
        <f t="shared" si="1"/>
        <v>0</v>
      </c>
      <c r="H13" s="54">
        <f>IF(H8=0,0,IF(H12&gt;=1,MID(D4,6,1),D4/100))</f>
        <v>0</v>
      </c>
      <c r="I13" s="63">
        <f t="shared" si="1"/>
        <v>0</v>
      </c>
      <c r="J13" s="54">
        <f>IF(J9=0,0,IF(J12&gt;=1,MID(D4,5,1),D4/100))</f>
        <v>0</v>
      </c>
      <c r="K13" s="63">
        <f t="shared" si="2"/>
        <v>0</v>
      </c>
      <c r="L13" s="54">
        <f>IF(L10=0,0,IF(L12&gt;=1,MID(D4,4,1),D4/100))</f>
        <v>0</v>
      </c>
      <c r="M13" s="63">
        <f>VALUE(L13)</f>
        <v>0</v>
      </c>
      <c r="N13" s="54">
        <f>IF(N11=0,0,IF(N12&gt;=1,MID(D4,3,1),D4/100))</f>
        <v>0</v>
      </c>
      <c r="O13" s="63">
        <f>VALUE(N13)</f>
        <v>0</v>
      </c>
      <c r="P13" s="54">
        <f>IF(P12=0,0,IF(P12&gt;=1,MID(D4,2,1),D4/100))</f>
        <v>0</v>
      </c>
      <c r="Q13" s="63">
        <f>VALUE(P13)</f>
        <v>0</v>
      </c>
      <c r="R13" s="64">
        <f>IF(D4&lt;=999.99,ROUNDDOWN(D4/100,0),0)</f>
        <v>0</v>
      </c>
      <c r="S13" s="62" t="str">
        <f>TEXT(R13,"0")</f>
        <v>0</v>
      </c>
      <c r="W13" s="61">
        <f t="shared" si="0"/>
        <v>0</v>
      </c>
      <c r="X13" s="54" t="str">
        <f>IF(W13=0,"",IF(AA15=100,"cien",IF(W13=1,"ciento",VLOOKUP(W13,$B$57:$D$65,3,FALSE))))</f>
        <v/>
      </c>
      <c r="Y13" s="54" t="str">
        <f>IF(X13&lt;&gt;""," ","")</f>
        <v/>
      </c>
      <c r="AC13" s="57"/>
    </row>
    <row r="14" spans="2:29">
      <c r="B14" s="55"/>
      <c r="E14" s="54" t="s">
        <v>99</v>
      </c>
      <c r="F14" s="54">
        <f>IF(F7=0,0,IF(F13&gt;=1,MID(D4,8,1),D4/10))</f>
        <v>0</v>
      </c>
      <c r="G14" s="63">
        <f t="shared" si="1"/>
        <v>0</v>
      </c>
      <c r="H14" s="54">
        <f>IF(H8=0,0,IF(H13&gt;=1,MID(D4,7,1),D4/10))</f>
        <v>0</v>
      </c>
      <c r="I14" s="63">
        <f t="shared" si="1"/>
        <v>0</v>
      </c>
      <c r="J14" s="54">
        <f>IF(J9=0,0,IF(J13&gt;=1,MID(D4,6,1),D4/10))</f>
        <v>0</v>
      </c>
      <c r="K14" s="63">
        <f t="shared" si="2"/>
        <v>0</v>
      </c>
      <c r="L14" s="54">
        <f>IF(L10=0,0,IF(L13&gt;=1,MID(D4,5,1),D4/10))</f>
        <v>0</v>
      </c>
      <c r="M14" s="63">
        <f>VALUE(L14)</f>
        <v>0</v>
      </c>
      <c r="N14" s="54">
        <f>IF(N11=0,0,IF(N13&gt;=1,MID(D4,4,1),D4/10))</f>
        <v>0</v>
      </c>
      <c r="O14" s="63">
        <f>VALUE(N14)</f>
        <v>0</v>
      </c>
      <c r="P14" s="54">
        <f>IF(P12=0,0,IF(P13&gt;=1,MID(D4,3,1),D4/10))</f>
        <v>0</v>
      </c>
      <c r="Q14" s="63">
        <f>VALUE(P14)</f>
        <v>0</v>
      </c>
      <c r="R14" s="54">
        <f>IF(R13=0,0,IF(R13&lt;&gt;0,MID(D4,2,1),D4/10))</f>
        <v>0</v>
      </c>
      <c r="S14" s="63">
        <f>VALUE(R14)</f>
        <v>0</v>
      </c>
      <c r="T14" s="64">
        <f>IF(D4&lt;=99.99,ROUNDDOWN(D4/10,0),0)</f>
        <v>0</v>
      </c>
      <c r="U14" s="62" t="str">
        <f>TEXT(T14,"0")</f>
        <v>0</v>
      </c>
      <c r="W14" s="61">
        <f t="shared" si="0"/>
        <v>0</v>
      </c>
      <c r="X14" s="54" t="str">
        <f>IF(W14=0,"",IF(W14&gt;=3,VLOOKUP(W14,$B$49:$D$55,3,FALSE),IF(W14&lt;=2,VLOOKUP($Z$15,$C$19:$D$47,2,FALSE))))</f>
        <v/>
      </c>
      <c r="Y14" s="54" t="str">
        <f>IF(W14=0,"",IF(W15=0,"",IF(Z15&gt;=30," y ","")))</f>
        <v/>
      </c>
      <c r="AC14" s="57"/>
    </row>
    <row r="15" spans="2:29">
      <c r="B15" s="55"/>
      <c r="E15" s="54" t="s">
        <v>100</v>
      </c>
      <c r="F15" s="54">
        <f>IF(F7=0,0,IF(F14&gt;=1,MID(D4,9,1),D4/10))</f>
        <v>0</v>
      </c>
      <c r="G15" s="63">
        <f t="shared" si="1"/>
        <v>0</v>
      </c>
      <c r="H15" s="54">
        <f>IF(H8=0,0,IF(H14&gt;=1,MID(D4,8,1),D4/10))</f>
        <v>0</v>
      </c>
      <c r="I15" s="63">
        <f t="shared" si="1"/>
        <v>0</v>
      </c>
      <c r="J15" s="54">
        <f>IF(J9=0,0,IF(J14&gt;=1,MID(D4,7,1),D4/10))</f>
        <v>0</v>
      </c>
      <c r="K15" s="63">
        <f t="shared" si="2"/>
        <v>0</v>
      </c>
      <c r="L15" s="54">
        <f>IF(L10=0,0,IF(L14&gt;=1,MID(D4,6,1),D4/10))</f>
        <v>0</v>
      </c>
      <c r="M15" s="63">
        <f>VALUE(L15)</f>
        <v>0</v>
      </c>
      <c r="N15" s="54">
        <f>IF(N11=0,0,IF(N14&gt;=1,MID(D4,5,1),D4/10))</f>
        <v>0</v>
      </c>
      <c r="O15" s="63">
        <f>VALUE(N15)</f>
        <v>0</v>
      </c>
      <c r="P15" s="54">
        <f>IF(P12=0,0,IF(P14&gt;=1,MID(D4,4,1),D4/10))</f>
        <v>0</v>
      </c>
      <c r="Q15" s="63">
        <f>VALUE(P15)</f>
        <v>0</v>
      </c>
      <c r="R15" s="54">
        <f>IF(R13=0,0,IF(R14&gt;=1,MID(D4,3,1),D4/10))</f>
        <v>0</v>
      </c>
      <c r="S15" s="63">
        <f>VALUE(R15)</f>
        <v>0</v>
      </c>
      <c r="T15" s="54">
        <f>IF(T14=0,0,IF(T14&gt;=1,MID(D4,2,1),D4/1))</f>
        <v>0</v>
      </c>
      <c r="U15" s="63">
        <f>VALUE(T15)</f>
        <v>0</v>
      </c>
      <c r="V15" s="64">
        <f>IF(D4&lt;=9.99,ROUNDDOWN(D4/1,0),0)</f>
        <v>0</v>
      </c>
      <c r="W15" s="61">
        <f t="shared" si="0"/>
        <v>0</v>
      </c>
      <c r="X15" s="54" t="str">
        <f>IF(D4&lt;1,"CERO ",IF(W15=0,"",IF(Z15&lt;10,VLOOKUP(W15,$C$19:$D$27,2,FALSE),IF(Z15&lt;=30,"",VLOOKUP(W15,$C$19:$D$27,2,FALSE)))))</f>
        <v xml:space="preserve">CERO </v>
      </c>
      <c r="Z15" s="54">
        <f>+W14*10+W15</f>
        <v>0</v>
      </c>
      <c r="AA15" s="61">
        <f>+W13*100+W14*10+W15*1</f>
        <v>0</v>
      </c>
      <c r="AC15" s="57"/>
    </row>
    <row r="16" spans="2:29">
      <c r="B16" s="55"/>
      <c r="X16" s="54" t="str">
        <f>TEXT(X15,"")</f>
        <v xml:space="preserve">CERO </v>
      </c>
      <c r="AC16" s="57"/>
    </row>
    <row r="17" spans="2:29">
      <c r="B17" s="55"/>
      <c r="AC17" s="57"/>
    </row>
    <row r="18" spans="2:29">
      <c r="B18" s="55"/>
      <c r="AC18" s="57"/>
    </row>
    <row r="19" spans="2:29">
      <c r="B19" s="55"/>
      <c r="C19" s="54">
        <v>1</v>
      </c>
      <c r="D19" s="54" t="s">
        <v>101</v>
      </c>
      <c r="AC19" s="57"/>
    </row>
    <row r="20" spans="2:29">
      <c r="B20" s="55"/>
      <c r="C20" s="54">
        <f>+C19+1</f>
        <v>2</v>
      </c>
      <c r="D20" s="54" t="s">
        <v>102</v>
      </c>
      <c r="AC20" s="57"/>
    </row>
    <row r="21" spans="2:29">
      <c r="B21" s="55"/>
      <c r="C21" s="54">
        <f t="shared" ref="C21:C47" si="3">+C20+1</f>
        <v>3</v>
      </c>
      <c r="D21" s="54" t="s">
        <v>103</v>
      </c>
      <c r="AC21" s="57"/>
    </row>
    <row r="22" spans="2:29">
      <c r="B22" s="55"/>
      <c r="C22" s="54">
        <f t="shared" si="3"/>
        <v>4</v>
      </c>
      <c r="D22" s="54" t="s">
        <v>104</v>
      </c>
      <c r="AC22" s="57"/>
    </row>
    <row r="23" spans="2:29">
      <c r="B23" s="55"/>
      <c r="C23" s="54">
        <f t="shared" si="3"/>
        <v>5</v>
      </c>
      <c r="D23" s="54" t="s">
        <v>105</v>
      </c>
      <c r="AC23" s="57"/>
    </row>
    <row r="24" spans="2:29">
      <c r="B24" s="55"/>
      <c r="C24" s="54">
        <f t="shared" si="3"/>
        <v>6</v>
      </c>
      <c r="D24" s="54" t="s">
        <v>106</v>
      </c>
      <c r="AC24" s="57"/>
    </row>
    <row r="25" spans="2:29">
      <c r="B25" s="55"/>
      <c r="C25" s="54">
        <f t="shared" si="3"/>
        <v>7</v>
      </c>
      <c r="D25" s="54" t="s">
        <v>107</v>
      </c>
      <c r="AC25" s="57"/>
    </row>
    <row r="26" spans="2:29">
      <c r="B26" s="55"/>
      <c r="C26" s="54">
        <f t="shared" si="3"/>
        <v>8</v>
      </c>
      <c r="D26" s="54" t="s">
        <v>108</v>
      </c>
      <c r="AC26" s="57"/>
    </row>
    <row r="27" spans="2:29">
      <c r="B27" s="55"/>
      <c r="C27" s="54">
        <f t="shared" si="3"/>
        <v>9</v>
      </c>
      <c r="D27" s="54" t="s">
        <v>109</v>
      </c>
      <c r="AC27" s="57"/>
    </row>
    <row r="28" spans="2:29">
      <c r="B28" s="55"/>
      <c r="C28" s="54">
        <f t="shared" si="3"/>
        <v>10</v>
      </c>
      <c r="D28" s="54" t="s">
        <v>110</v>
      </c>
      <c r="AC28" s="57"/>
    </row>
    <row r="29" spans="2:29">
      <c r="B29" s="55"/>
      <c r="C29" s="54">
        <f t="shared" si="3"/>
        <v>11</v>
      </c>
      <c r="D29" s="54" t="s">
        <v>111</v>
      </c>
      <c r="AC29" s="57"/>
    </row>
    <row r="30" spans="2:29">
      <c r="B30" s="55"/>
      <c r="C30" s="54">
        <f t="shared" si="3"/>
        <v>12</v>
      </c>
      <c r="D30" s="54" t="s">
        <v>112</v>
      </c>
      <c r="AC30" s="57"/>
    </row>
    <row r="31" spans="2:29">
      <c r="B31" s="55"/>
      <c r="C31" s="54">
        <f t="shared" si="3"/>
        <v>13</v>
      </c>
      <c r="D31" s="54" t="s">
        <v>113</v>
      </c>
      <c r="AC31" s="57"/>
    </row>
    <row r="32" spans="2:29">
      <c r="B32" s="55"/>
      <c r="C32" s="54">
        <f t="shared" si="3"/>
        <v>14</v>
      </c>
      <c r="D32" s="54" t="s">
        <v>114</v>
      </c>
      <c r="AC32" s="57"/>
    </row>
    <row r="33" spans="2:29">
      <c r="B33" s="55"/>
      <c r="C33" s="54">
        <f t="shared" si="3"/>
        <v>15</v>
      </c>
      <c r="D33" s="54" t="s">
        <v>115</v>
      </c>
      <c r="AC33" s="57"/>
    </row>
    <row r="34" spans="2:29">
      <c r="B34" s="55"/>
      <c r="C34" s="54">
        <f t="shared" si="3"/>
        <v>16</v>
      </c>
      <c r="D34" s="54" t="s">
        <v>116</v>
      </c>
      <c r="AC34" s="57"/>
    </row>
    <row r="35" spans="2:29">
      <c r="B35" s="55"/>
      <c r="C35" s="54">
        <f t="shared" si="3"/>
        <v>17</v>
      </c>
      <c r="D35" s="54" t="s">
        <v>117</v>
      </c>
      <c r="AC35" s="57"/>
    </row>
    <row r="36" spans="2:29">
      <c r="B36" s="55"/>
      <c r="C36" s="54">
        <f t="shared" si="3"/>
        <v>18</v>
      </c>
      <c r="D36" s="54" t="s">
        <v>118</v>
      </c>
      <c r="AC36" s="57"/>
    </row>
    <row r="37" spans="2:29">
      <c r="B37" s="55"/>
      <c r="C37" s="54">
        <f t="shared" si="3"/>
        <v>19</v>
      </c>
      <c r="D37" s="54" t="s">
        <v>119</v>
      </c>
      <c r="AC37" s="57"/>
    </row>
    <row r="38" spans="2:29">
      <c r="B38" s="55"/>
      <c r="C38" s="54">
        <f t="shared" si="3"/>
        <v>20</v>
      </c>
      <c r="D38" s="54" t="s">
        <v>120</v>
      </c>
      <c r="AC38" s="57"/>
    </row>
    <row r="39" spans="2:29">
      <c r="B39" s="55"/>
      <c r="C39" s="54">
        <f t="shared" si="3"/>
        <v>21</v>
      </c>
      <c r="D39" s="54" t="s">
        <v>121</v>
      </c>
      <c r="AC39" s="57"/>
    </row>
    <row r="40" spans="2:29">
      <c r="B40" s="55"/>
      <c r="C40" s="54">
        <f t="shared" si="3"/>
        <v>22</v>
      </c>
      <c r="D40" s="54" t="s">
        <v>122</v>
      </c>
      <c r="AC40" s="57"/>
    </row>
    <row r="41" spans="2:29">
      <c r="B41" s="55"/>
      <c r="C41" s="54">
        <f t="shared" si="3"/>
        <v>23</v>
      </c>
      <c r="D41" s="54" t="s">
        <v>123</v>
      </c>
      <c r="AC41" s="57"/>
    </row>
    <row r="42" spans="2:29">
      <c r="B42" s="55"/>
      <c r="C42" s="54">
        <f t="shared" si="3"/>
        <v>24</v>
      </c>
      <c r="D42" s="54" t="s">
        <v>124</v>
      </c>
      <c r="AC42" s="57"/>
    </row>
    <row r="43" spans="2:29">
      <c r="B43" s="55"/>
      <c r="C43" s="54">
        <f t="shared" si="3"/>
        <v>25</v>
      </c>
      <c r="D43" s="54" t="s">
        <v>125</v>
      </c>
      <c r="AC43" s="57"/>
    </row>
    <row r="44" spans="2:29">
      <c r="B44" s="55"/>
      <c r="C44" s="54">
        <f t="shared" si="3"/>
        <v>26</v>
      </c>
      <c r="D44" s="54" t="s">
        <v>126</v>
      </c>
      <c r="AC44" s="57"/>
    </row>
    <row r="45" spans="2:29">
      <c r="B45" s="55"/>
      <c r="C45" s="54">
        <f t="shared" si="3"/>
        <v>27</v>
      </c>
      <c r="D45" s="54" t="s">
        <v>127</v>
      </c>
      <c r="AC45" s="57"/>
    </row>
    <row r="46" spans="2:29">
      <c r="B46" s="55"/>
      <c r="C46" s="54">
        <f t="shared" si="3"/>
        <v>28</v>
      </c>
      <c r="D46" s="54" t="s">
        <v>128</v>
      </c>
      <c r="AC46" s="57"/>
    </row>
    <row r="47" spans="2:29">
      <c r="B47" s="55"/>
      <c r="C47" s="54">
        <f t="shared" si="3"/>
        <v>29</v>
      </c>
      <c r="D47" s="54" t="s">
        <v>129</v>
      </c>
      <c r="AC47" s="57"/>
    </row>
    <row r="48" spans="2:29">
      <c r="B48" s="55"/>
      <c r="AC48" s="57"/>
    </row>
    <row r="49" spans="2:29">
      <c r="B49" s="55">
        <v>3</v>
      </c>
      <c r="C49" s="54">
        <v>30</v>
      </c>
      <c r="D49" s="54" t="s">
        <v>130</v>
      </c>
      <c r="AC49" s="57"/>
    </row>
    <row r="50" spans="2:29">
      <c r="B50" s="55">
        <v>4</v>
      </c>
      <c r="C50" s="54">
        <v>40</v>
      </c>
      <c r="D50" s="54" t="s">
        <v>131</v>
      </c>
      <c r="AC50" s="57"/>
    </row>
    <row r="51" spans="2:29">
      <c r="B51" s="55">
        <v>5</v>
      </c>
      <c r="C51" s="54">
        <v>50</v>
      </c>
      <c r="D51" s="54" t="s">
        <v>132</v>
      </c>
      <c r="AC51" s="57"/>
    </row>
    <row r="52" spans="2:29">
      <c r="B52" s="55">
        <v>6</v>
      </c>
      <c r="C52" s="54">
        <v>60</v>
      </c>
      <c r="D52" s="54" t="s">
        <v>133</v>
      </c>
      <c r="AC52" s="57"/>
    </row>
    <row r="53" spans="2:29">
      <c r="B53" s="55">
        <v>7</v>
      </c>
      <c r="C53" s="54">
        <v>70</v>
      </c>
      <c r="D53" s="54" t="s">
        <v>134</v>
      </c>
      <c r="AC53" s="57"/>
    </row>
    <row r="54" spans="2:29">
      <c r="B54" s="55">
        <v>8</v>
      </c>
      <c r="C54" s="54">
        <v>80</v>
      </c>
      <c r="D54" s="54" t="s">
        <v>135</v>
      </c>
      <c r="AC54" s="57"/>
    </row>
    <row r="55" spans="2:29">
      <c r="B55" s="55">
        <v>9</v>
      </c>
      <c r="C55" s="54">
        <v>90</v>
      </c>
      <c r="D55" s="54" t="s">
        <v>136</v>
      </c>
      <c r="AC55" s="57"/>
    </row>
    <row r="56" spans="2:29">
      <c r="B56" s="55"/>
      <c r="AC56" s="57"/>
    </row>
    <row r="57" spans="2:29">
      <c r="B57" s="55">
        <v>1</v>
      </c>
      <c r="C57" s="54">
        <v>100</v>
      </c>
      <c r="D57" s="54" t="s">
        <v>137</v>
      </c>
      <c r="AC57" s="57"/>
    </row>
    <row r="58" spans="2:29">
      <c r="B58" s="55">
        <v>2</v>
      </c>
      <c r="C58" s="54">
        <v>200</v>
      </c>
      <c r="D58" s="54" t="s">
        <v>138</v>
      </c>
      <c r="AC58" s="57"/>
    </row>
    <row r="59" spans="2:29">
      <c r="B59" s="55">
        <v>3</v>
      </c>
      <c r="C59" s="54">
        <v>300</v>
      </c>
      <c r="D59" s="54" t="s">
        <v>139</v>
      </c>
      <c r="AC59" s="57"/>
    </row>
    <row r="60" spans="2:29">
      <c r="B60" s="55">
        <v>4</v>
      </c>
      <c r="C60" s="54">
        <v>400</v>
      </c>
      <c r="D60" s="54" t="s">
        <v>140</v>
      </c>
      <c r="AC60" s="57"/>
    </row>
    <row r="61" spans="2:29">
      <c r="B61" s="55">
        <v>5</v>
      </c>
      <c r="C61" s="54">
        <v>500</v>
      </c>
      <c r="D61" s="54" t="s">
        <v>141</v>
      </c>
      <c r="AC61" s="57"/>
    </row>
    <row r="62" spans="2:29">
      <c r="B62" s="55">
        <v>6</v>
      </c>
      <c r="C62" s="54">
        <v>600</v>
      </c>
      <c r="D62" s="54" t="s">
        <v>142</v>
      </c>
      <c r="AC62" s="57"/>
    </row>
    <row r="63" spans="2:29">
      <c r="B63" s="55">
        <v>7</v>
      </c>
      <c r="C63" s="54">
        <v>700</v>
      </c>
      <c r="D63" s="54" t="s">
        <v>143</v>
      </c>
      <c r="AC63" s="57"/>
    </row>
    <row r="64" spans="2:29">
      <c r="B64" s="55">
        <v>8</v>
      </c>
      <c r="C64" s="54">
        <v>800</v>
      </c>
      <c r="D64" s="54" t="s">
        <v>144</v>
      </c>
      <c r="AC64" s="57"/>
    </row>
    <row r="65" spans="2:29">
      <c r="B65" s="55">
        <v>9</v>
      </c>
      <c r="C65" s="54">
        <v>900</v>
      </c>
      <c r="D65" s="54" t="s">
        <v>145</v>
      </c>
      <c r="AC65" s="57"/>
    </row>
    <row r="66" spans="2:29">
      <c r="B66" s="55"/>
      <c r="C66" s="54">
        <v>1000</v>
      </c>
      <c r="D66" s="54" t="s">
        <v>146</v>
      </c>
      <c r="AC66" s="57"/>
    </row>
    <row r="67" spans="2:29" ht="14.1" thickBot="1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</row>
    <row r="70" spans="2:29" ht="14.1" thickBot="1"/>
    <row r="71" spans="2:29">
      <c r="B71" s="68"/>
      <c r="C71" s="69"/>
      <c r="D71" s="69" t="s">
        <v>88</v>
      </c>
      <c r="E71" s="70" t="s">
        <v>89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71"/>
    </row>
    <row r="72" spans="2:29">
      <c r="B72" s="72"/>
      <c r="C72" s="73"/>
      <c r="D72" s="73" t="s">
        <v>90</v>
      </c>
      <c r="E72" s="74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5"/>
    </row>
    <row r="73" spans="2:29" ht="14.1" thickBot="1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5"/>
    </row>
    <row r="74" spans="2:29" ht="15" thickBot="1">
      <c r="B74" s="72"/>
      <c r="C74" s="73"/>
      <c r="D74" s="76">
        <f>D4/12</f>
        <v>0</v>
      </c>
      <c r="E74" s="183" t="str">
        <f>X77&amp;Y77&amp;X78&amp;Y78&amp;X79&amp;Y79&amp;X80&amp;Y80&amp;X81&amp;Y81&amp;X82&amp;Y82&amp;X83&amp;Y83&amp;X84&amp;Y84&amp;X85&amp;Y85&amp;" "&amp;IF(X86="UN","Peso",E71)&amp;" "&amp;D77&amp;E72</f>
        <v xml:space="preserve"> CERO  pesos, 00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73"/>
      <c r="Y74" s="73"/>
      <c r="Z74" s="73"/>
      <c r="AA74" s="73"/>
      <c r="AB74" s="73"/>
      <c r="AC74" s="75"/>
    </row>
    <row r="75" spans="2:29">
      <c r="B75" s="72"/>
      <c r="C75" s="73"/>
      <c r="D75" s="77">
        <f>ROUNDDOWN(D74,0)</f>
        <v>0</v>
      </c>
      <c r="E75" s="73" t="str">
        <f>PROPER(TEXT(E74,""))</f>
        <v xml:space="preserve"> Cero  Pesos, 00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5"/>
    </row>
    <row r="76" spans="2:29">
      <c r="B76" s="72"/>
      <c r="C76" s="73"/>
      <c r="D76" s="77">
        <f>ROUND(+D74-D75,2)</f>
        <v>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8">
        <f>IF(W77&lt;&gt;0,1,7)</f>
        <v>7</v>
      </c>
      <c r="X76" s="73"/>
      <c r="Y76" s="73"/>
      <c r="Z76" s="73"/>
      <c r="AA76" s="73"/>
      <c r="AB76" s="73"/>
      <c r="AC76" s="75"/>
    </row>
    <row r="77" spans="2:29">
      <c r="B77" s="72"/>
      <c r="C77" s="73"/>
      <c r="D77" s="78" t="str">
        <f>IF(D76=0,"00",TEXT(D76*100,"00"))</f>
        <v>00</v>
      </c>
      <c r="E77" s="73" t="s">
        <v>91</v>
      </c>
      <c r="F77" s="79">
        <f>IF(D74&gt;99999999.99,ROUNDDOWN(D74/100000000,0),0)</f>
        <v>0</v>
      </c>
      <c r="G77" s="80" t="str">
        <f>TEXT(F77,"0")</f>
        <v>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9">
        <f t="shared" ref="W77:W85" si="4">SUM(F77:V77)</f>
        <v>0</v>
      </c>
      <c r="X77" s="73" t="str">
        <f>IF(W77=0,"",IF(AB79=100,"cien",IF(W77=1,"ciento",VLOOKUP(W77,$B$127:$D$135,3,FALSE))))</f>
        <v/>
      </c>
      <c r="Y77" s="73" t="str">
        <f>IF(X77&lt;&gt;""," ","")</f>
        <v/>
      </c>
      <c r="Z77" s="73"/>
      <c r="AA77" s="73"/>
      <c r="AB77" s="73"/>
      <c r="AC77" s="75"/>
    </row>
    <row r="78" spans="2:29">
      <c r="B78" s="72"/>
      <c r="C78" s="73"/>
      <c r="D78" s="81"/>
      <c r="E78" s="73" t="s">
        <v>92</v>
      </c>
      <c r="F78" s="73">
        <f>IF(F77=0,0,IF(F77&lt;&gt;0,MID(D74,2,1),D74/10000000))</f>
        <v>0</v>
      </c>
      <c r="G78" s="73">
        <f t="shared" ref="G78:G85" si="5">VALUE(F78)</f>
        <v>0</v>
      </c>
      <c r="H78" s="82">
        <f>IF(D74&lt;=99999999.99,ROUNDDOWN(D74/10000000,0),0)</f>
        <v>0</v>
      </c>
      <c r="I78" s="80" t="str">
        <f>TEXT(H78,"0")</f>
        <v>0</v>
      </c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9">
        <f t="shared" si="4"/>
        <v>0</v>
      </c>
      <c r="X78" s="73" t="str">
        <f>IF(W78=0,"",IF(W78&gt;=3,VLOOKUP(W78,$B$119:$D$125,3,FALSE),IF(W78&lt;=2,VLOOKUP($Z$79,$C$89:$D$117,2,FALSE))))</f>
        <v/>
      </c>
      <c r="Y78" s="73" t="str">
        <f>IF(AB79=0,"",IF(AA79=0," millones ",IF(W79=0," millones ",IF(Z79&gt;=30," y ",IF(W78=0,"",IF($Z$79&lt;30," millones ",""))))))</f>
        <v/>
      </c>
      <c r="Z78" s="73"/>
      <c r="AA78" s="73"/>
      <c r="AB78" s="73"/>
      <c r="AC78" s="75"/>
    </row>
    <row r="79" spans="2:29">
      <c r="B79" s="72"/>
      <c r="C79" s="73"/>
      <c r="D79" s="73"/>
      <c r="E79" s="73" t="s">
        <v>93</v>
      </c>
      <c r="F79" s="73">
        <f>IF(F77=0,0,IF(F78&gt;=1,MID(D74,3,1),D74/1000000))</f>
        <v>0</v>
      </c>
      <c r="G79" s="73">
        <f t="shared" si="5"/>
        <v>0</v>
      </c>
      <c r="H79" s="73">
        <f>IF(H78=0,0,IF(H78&lt;&gt;0,MID(D74,2,1),D74/1000000))</f>
        <v>0</v>
      </c>
      <c r="I79" s="73">
        <f t="shared" ref="I79:I85" si="6">VALUE(H79)</f>
        <v>0</v>
      </c>
      <c r="J79" s="82">
        <f>IF(D74&lt;=9999999.99,ROUNDDOWN(D74/1000000,0),0)</f>
        <v>0</v>
      </c>
      <c r="K79" s="80" t="str">
        <f>TEXT(J79,"0")</f>
        <v>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9">
        <f t="shared" si="4"/>
        <v>0</v>
      </c>
      <c r="X79" s="73" t="str">
        <f>IF(W79=0,"",IF(Z79&lt;10,VLOOKUP(W79,$C$89:$D$97,2,FALSE),IF(Z79&lt;=30,"",IF(Z79=11,"",IF(W79=1,"un ",VLOOKUP(W79,$C$89:$D$97,2,FALSE))))))</f>
        <v/>
      </c>
      <c r="Y79" s="73" t="str">
        <f>IF(AB79=1," millon ",IF(X79&lt;&gt;""," millones ",""))</f>
        <v/>
      </c>
      <c r="Z79" s="73">
        <f>+W78*10+W79</f>
        <v>0</v>
      </c>
      <c r="AA79" s="79">
        <f>+W78+W79</f>
        <v>0</v>
      </c>
      <c r="AB79" s="73">
        <f>+W77*100+W78*10+W79*1</f>
        <v>0</v>
      </c>
      <c r="AC79" s="75"/>
    </row>
    <row r="80" spans="2:29">
      <c r="B80" s="72"/>
      <c r="C80" s="73"/>
      <c r="D80" s="73"/>
      <c r="E80" s="73" t="s">
        <v>94</v>
      </c>
      <c r="F80" s="73">
        <f>IF(F77=0,0,IF(F79&gt;=1,MID(D74,4,1),D74/100000))</f>
        <v>0</v>
      </c>
      <c r="G80" s="73">
        <f t="shared" si="5"/>
        <v>0</v>
      </c>
      <c r="H80" s="73">
        <f>IF(H78=0,0,IF(H79&gt;=1,MID(D74,3,1),D74/100000))</f>
        <v>0</v>
      </c>
      <c r="I80" s="73">
        <f t="shared" si="6"/>
        <v>0</v>
      </c>
      <c r="J80" s="73">
        <f>IF(J79=0,0,IF(J79&gt;=1,MID(D74,2,1),D74/100000))</f>
        <v>0</v>
      </c>
      <c r="K80" s="73">
        <f t="shared" ref="K80:K85" si="7">VALUE(J80)</f>
        <v>0</v>
      </c>
      <c r="L80" s="82">
        <f>IF(D74&lt;=999999.99,ROUNDDOWN(D74/100000,0),0)</f>
        <v>0</v>
      </c>
      <c r="M80" s="80" t="str">
        <f>TEXT(L80,"0")</f>
        <v>0</v>
      </c>
      <c r="N80" s="73"/>
      <c r="O80" s="73"/>
      <c r="P80" s="73"/>
      <c r="Q80" s="73"/>
      <c r="R80" s="73"/>
      <c r="S80" s="73"/>
      <c r="T80" s="73"/>
      <c r="U80" s="73"/>
      <c r="V80" s="73"/>
      <c r="W80" s="79">
        <f t="shared" si="4"/>
        <v>0</v>
      </c>
      <c r="X80" s="73" t="str">
        <f>IF(W80=0,"",IF(AB82=100," cien",IF(W80=1," ciento",VLOOKUP(W80,$B$127:$D$135,3,FALSE))))</f>
        <v/>
      </c>
      <c r="Y80" s="73" t="s">
        <v>95</v>
      </c>
      <c r="Z80" s="73"/>
      <c r="AA80" s="73"/>
      <c r="AB80" s="73"/>
      <c r="AC80" s="75"/>
    </row>
    <row r="81" spans="2:29">
      <c r="B81" s="72"/>
      <c r="C81" s="73"/>
      <c r="D81" s="73"/>
      <c r="E81" s="73" t="s">
        <v>96</v>
      </c>
      <c r="F81" s="73">
        <f>IF(F77=0,0,IF(F80&gt;=1,MID(D74,5,1),D74/10000))</f>
        <v>0</v>
      </c>
      <c r="G81" s="73">
        <f t="shared" si="5"/>
        <v>0</v>
      </c>
      <c r="H81" s="73">
        <f>IF(H78=0,0,IF(H80&gt;=1,MID(D74,4,1),D74/10000))</f>
        <v>0</v>
      </c>
      <c r="I81" s="73">
        <f t="shared" si="6"/>
        <v>0</v>
      </c>
      <c r="J81" s="73">
        <f>IF(J79=0,0,IF(J80&gt;=1,MID(D74,3,1),D74/10000))</f>
        <v>0</v>
      </c>
      <c r="K81" s="73">
        <f t="shared" si="7"/>
        <v>0</v>
      </c>
      <c r="L81" s="73">
        <f>IF(L80=0,0,IF(L80&lt;&gt;0,MID(D74,2,1),D74/10000))</f>
        <v>0</v>
      </c>
      <c r="M81" s="73">
        <f>VALUE(L81)</f>
        <v>0</v>
      </c>
      <c r="N81" s="82">
        <f>IF(D74&lt;=99999.99,ROUNDDOWN(D74/10000,0),0)</f>
        <v>0</v>
      </c>
      <c r="O81" s="80" t="str">
        <f>TEXT(N81,"0")</f>
        <v>0</v>
      </c>
      <c r="P81" s="73"/>
      <c r="Q81" s="73"/>
      <c r="R81" s="73"/>
      <c r="S81" s="73"/>
      <c r="T81" s="73"/>
      <c r="U81" s="73"/>
      <c r="V81" s="73"/>
      <c r="W81" s="79">
        <f t="shared" si="4"/>
        <v>0</v>
      </c>
      <c r="X81" s="73" t="str">
        <f>IF(W81=0,"",IF(W81&gt;=3,VLOOKUP(W81,$B$119:$D$125,3,FALSE),IF(W81&lt;=2,VLOOKUP($Z$82,$C$89:$D$117,2,FALSE))))</f>
        <v/>
      </c>
      <c r="Y81" s="73" t="str">
        <f>IF(AB82=0,"",IF(AA82=W81," mil ",IF(Z82&gt;=30," y ","")))</f>
        <v/>
      </c>
      <c r="Z81" s="73"/>
      <c r="AA81" s="73"/>
      <c r="AB81" s="73"/>
      <c r="AC81" s="75"/>
    </row>
    <row r="82" spans="2:29">
      <c r="B82" s="72"/>
      <c r="C82" s="73"/>
      <c r="D82" s="73"/>
      <c r="E82" s="73" t="s">
        <v>97</v>
      </c>
      <c r="F82" s="73">
        <f>IF(F77=0,0,IF(F81&gt;=1,MID(D74,6,1),D74/1000))</f>
        <v>0</v>
      </c>
      <c r="G82" s="73">
        <f t="shared" si="5"/>
        <v>0</v>
      </c>
      <c r="H82" s="73">
        <f>IF(H78=0,0,IF(H81&gt;=1,MID(D74,5,1),D74/1000))</f>
        <v>0</v>
      </c>
      <c r="I82" s="73">
        <f t="shared" si="6"/>
        <v>0</v>
      </c>
      <c r="J82" s="73">
        <f>IF(J79=0,0,IF(J81&gt;=1,MID(D74,4,1),D74/1000))</f>
        <v>0</v>
      </c>
      <c r="K82" s="73">
        <f t="shared" si="7"/>
        <v>0</v>
      </c>
      <c r="L82" s="73">
        <f>IF(L80=0,0,IF(L81&gt;=1,MID(D74,3,1),D74/1000))</f>
        <v>0</v>
      </c>
      <c r="M82" s="73">
        <f>VALUE(L82)</f>
        <v>0</v>
      </c>
      <c r="N82" s="73">
        <f>IF(N81=0,0,IF(N81&gt;=1,MID(D74,2,1),D74/1000))</f>
        <v>0</v>
      </c>
      <c r="O82" s="73">
        <f>VALUE(N82)</f>
        <v>0</v>
      </c>
      <c r="P82" s="82">
        <f>IF(D74&lt;=9999.99,ROUNDDOWN(D74/1000,0),0)</f>
        <v>0</v>
      </c>
      <c r="Q82" s="80" t="str">
        <f>TEXT(P82,"0")</f>
        <v>0</v>
      </c>
      <c r="R82" s="73"/>
      <c r="S82" s="73"/>
      <c r="T82" s="73"/>
      <c r="U82" s="73"/>
      <c r="V82" s="73"/>
      <c r="W82" s="79">
        <f t="shared" si="4"/>
        <v>0</v>
      </c>
      <c r="X82" s="73" t="str">
        <f>IF(W82=0,"",IF(Z82&lt;10,VLOOKUP(W82,$C$89:$D$97,2,FALSE),IF(Z82=21,"",IF(Z82=11,"",IF(W82=1,"un",IF(Z82&lt;=30,"",VLOOKUP(W82,$C$89:$D$97,2,FALSE)))))))</f>
        <v/>
      </c>
      <c r="Y82" s="73" t="str">
        <f>IF(AB82=0,"",IF(Y81=" mil ","",IF(AA82=0," mil ",IF(W82&lt;&gt;0," mil ",IF($Z$82&lt;30," mil ","")))))</f>
        <v/>
      </c>
      <c r="Z82" s="73">
        <f>+W81*10+W82</f>
        <v>0</v>
      </c>
      <c r="AA82" s="79">
        <f>+W81+W82</f>
        <v>0</v>
      </c>
      <c r="AB82" s="73">
        <f>+W80*100+W81*10+W82*1</f>
        <v>0</v>
      </c>
      <c r="AC82" s="75"/>
    </row>
    <row r="83" spans="2:29">
      <c r="B83" s="72"/>
      <c r="C83" s="73"/>
      <c r="D83" s="73"/>
      <c r="E83" s="73" t="s">
        <v>98</v>
      </c>
      <c r="F83" s="73">
        <f>IF(F77=0,0,IF(F82&gt;=1,MID(D74,7,1),D74/100))</f>
        <v>0</v>
      </c>
      <c r="G83" s="73">
        <f t="shared" si="5"/>
        <v>0</v>
      </c>
      <c r="H83" s="73">
        <f>IF(H78=0,0,IF(H82&gt;=1,MID(D74,6,1),D74/100))</f>
        <v>0</v>
      </c>
      <c r="I83" s="73">
        <f t="shared" si="6"/>
        <v>0</v>
      </c>
      <c r="J83" s="73">
        <f>IF(J79=0,0,IF(J82&gt;=1,MID(D74,5,1),D74/100))</f>
        <v>0</v>
      </c>
      <c r="K83" s="73">
        <f t="shared" si="7"/>
        <v>0</v>
      </c>
      <c r="L83" s="73">
        <f>IF(L80=0,0,IF(L82&gt;=1,MID(D74,4,1),D74/100))</f>
        <v>0</v>
      </c>
      <c r="M83" s="73">
        <f>VALUE(L83)</f>
        <v>0</v>
      </c>
      <c r="N83" s="73">
        <f>IF(N81=0,0,IF(N82&gt;=1,MID(D74,3,1),D74/100))</f>
        <v>0</v>
      </c>
      <c r="O83" s="73">
        <f>VALUE(N83)</f>
        <v>0</v>
      </c>
      <c r="P83" s="73">
        <f>IF(P82=0,0,IF(P82&gt;=1,MID(D74,2,1),D74/100))</f>
        <v>0</v>
      </c>
      <c r="Q83" s="73">
        <f>VALUE(P83)</f>
        <v>0</v>
      </c>
      <c r="R83" s="82">
        <f>IF(D74&lt;=999.99,ROUNDDOWN(D74/100,0),0)</f>
        <v>0</v>
      </c>
      <c r="S83" s="80" t="str">
        <f>TEXT(R83,"0")</f>
        <v>0</v>
      </c>
      <c r="T83" s="73"/>
      <c r="U83" s="73"/>
      <c r="V83" s="73"/>
      <c r="W83" s="79">
        <f t="shared" si="4"/>
        <v>0</v>
      </c>
      <c r="X83" s="73" t="str">
        <f>IF(W83=0,"",IF(AA85=100,"cien",IF(W83=1,"ciento",VLOOKUP(W83,$B$127:$D$135,3,FALSE))))</f>
        <v/>
      </c>
      <c r="Y83" s="73" t="str">
        <f>IF(X83&lt;&gt;""," ","")</f>
        <v/>
      </c>
      <c r="Z83" s="73"/>
      <c r="AA83" s="73"/>
      <c r="AB83" s="73"/>
      <c r="AC83" s="75"/>
    </row>
    <row r="84" spans="2:29">
      <c r="B84" s="72"/>
      <c r="C84" s="73"/>
      <c r="D84" s="73"/>
      <c r="E84" s="73" t="s">
        <v>99</v>
      </c>
      <c r="F84" s="73">
        <f>IF(F77=0,0,IF(F83&gt;=1,MID(D74,8,1),D74/10))</f>
        <v>0</v>
      </c>
      <c r="G84" s="73">
        <f t="shared" si="5"/>
        <v>0</v>
      </c>
      <c r="H84" s="73">
        <f>IF(H78=0,0,IF(H83&gt;=1,MID(D74,7,1),D74/10))</f>
        <v>0</v>
      </c>
      <c r="I84" s="73">
        <f t="shared" si="6"/>
        <v>0</v>
      </c>
      <c r="J84" s="73">
        <f>IF(J79=0,0,IF(J83&gt;=1,MID(D74,6,1),D74/10))</f>
        <v>0</v>
      </c>
      <c r="K84" s="73">
        <f t="shared" si="7"/>
        <v>0</v>
      </c>
      <c r="L84" s="73">
        <f>IF(L80=0,0,IF(L83&gt;=1,MID(D74,5,1),D74/10))</f>
        <v>0</v>
      </c>
      <c r="M84" s="73">
        <f>VALUE(L84)</f>
        <v>0</v>
      </c>
      <c r="N84" s="73">
        <f>IF(N81=0,0,IF(N83&gt;=1,MID(D74,4,1),D74/10))</f>
        <v>0</v>
      </c>
      <c r="O84" s="73">
        <f>VALUE(N84)</f>
        <v>0</v>
      </c>
      <c r="P84" s="73">
        <f>IF(P82=0,0,IF(P83&gt;=1,MID(D74,3,1),D74/10))</f>
        <v>0</v>
      </c>
      <c r="Q84" s="73">
        <f>VALUE(P84)</f>
        <v>0</v>
      </c>
      <c r="R84" s="73">
        <f>IF(R83=0,0,IF(R83&lt;&gt;0,MID(D74,2,1),D74/10))</f>
        <v>0</v>
      </c>
      <c r="S84" s="73">
        <f>VALUE(R84)</f>
        <v>0</v>
      </c>
      <c r="T84" s="82">
        <f>IF(D74&lt;=99.99,ROUNDDOWN(D74/10,0),0)</f>
        <v>0</v>
      </c>
      <c r="U84" s="80" t="str">
        <f>TEXT(T84,"0")</f>
        <v>0</v>
      </c>
      <c r="V84" s="73"/>
      <c r="W84" s="79">
        <f t="shared" si="4"/>
        <v>0</v>
      </c>
      <c r="X84" s="73" t="str">
        <f>IF(W84=0,"",IF(W84&gt;=3,VLOOKUP(W84,$B$119:$D$125,3,FALSE),IF(W84&lt;=2,VLOOKUP($Z$85,$C$89:$D$117,2,FALSE))))</f>
        <v/>
      </c>
      <c r="Y84" s="73" t="str">
        <f>IF(W84=0,"",IF(W85=0,"",IF(Z85&gt;=30," y ","")))</f>
        <v/>
      </c>
      <c r="Z84" s="73"/>
      <c r="AA84" s="73"/>
      <c r="AB84" s="73"/>
      <c r="AC84" s="75"/>
    </row>
    <row r="85" spans="2:29">
      <c r="B85" s="72"/>
      <c r="C85" s="73"/>
      <c r="D85" s="73"/>
      <c r="E85" s="73" t="s">
        <v>100</v>
      </c>
      <c r="F85" s="73">
        <f>IF(F77=0,0,IF(F84&gt;=1,MID(D74,9,1),D74/10))</f>
        <v>0</v>
      </c>
      <c r="G85" s="73">
        <f t="shared" si="5"/>
        <v>0</v>
      </c>
      <c r="H85" s="73">
        <f>IF(H78=0,0,IF(H84&gt;=1,MID(D74,8,1),D74/10))</f>
        <v>0</v>
      </c>
      <c r="I85" s="73">
        <f t="shared" si="6"/>
        <v>0</v>
      </c>
      <c r="J85" s="73">
        <f>IF(J79=0,0,IF(J84&gt;=1,MID(D74,7,1),D74/10))</f>
        <v>0</v>
      </c>
      <c r="K85" s="73">
        <f t="shared" si="7"/>
        <v>0</v>
      </c>
      <c r="L85" s="73">
        <f>IF(L80=0,0,IF(L84&gt;=1,MID(D74,6,1),D74/10))</f>
        <v>0</v>
      </c>
      <c r="M85" s="73">
        <f>VALUE(L85)</f>
        <v>0</v>
      </c>
      <c r="N85" s="73">
        <f>IF(N81=0,0,IF(N84&gt;=1,MID(D74,5,1),D74/10))</f>
        <v>0</v>
      </c>
      <c r="O85" s="73">
        <f>VALUE(N85)</f>
        <v>0</v>
      </c>
      <c r="P85" s="73">
        <f>IF(P82=0,0,IF(P84&gt;=1,MID(D74,4,1),D74/10))</f>
        <v>0</v>
      </c>
      <c r="Q85" s="73">
        <f>VALUE(P85)</f>
        <v>0</v>
      </c>
      <c r="R85" s="73">
        <f>IF(R83=0,0,IF(R84&gt;=1,MID(D74,3,1),D74/10))</f>
        <v>0</v>
      </c>
      <c r="S85" s="73">
        <f>VALUE(R85)</f>
        <v>0</v>
      </c>
      <c r="T85" s="73">
        <f>IF(T84=0,0,IF(T84&gt;=1,MID(D74,2,1),D74/1))</f>
        <v>0</v>
      </c>
      <c r="U85" s="73">
        <f>VALUE(T85)</f>
        <v>0</v>
      </c>
      <c r="V85" s="82">
        <f>IF(D74&lt;=9.99,ROUNDDOWN(D74/1,0),0)</f>
        <v>0</v>
      </c>
      <c r="W85" s="79">
        <f t="shared" si="4"/>
        <v>0</v>
      </c>
      <c r="X85" s="73" t="str">
        <f>IF(D74&lt;1,"CERO ",IF(W85=0,"",IF(Z85&lt;10,VLOOKUP(W85,$C$89:$D$97,2,FALSE),IF(Z85&lt;=30,"",VLOOKUP(W85,$C$89:$D$97,2,FALSE)))))</f>
        <v xml:space="preserve">CERO </v>
      </c>
      <c r="Y85" s="73"/>
      <c r="Z85" s="73">
        <f>+W84*10+W85</f>
        <v>0</v>
      </c>
      <c r="AA85" s="79">
        <f>+W83*100+W84*10+W85*1</f>
        <v>0</v>
      </c>
      <c r="AB85" s="73"/>
      <c r="AC85" s="75"/>
    </row>
    <row r="86" spans="2:29">
      <c r="B86" s="72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 t="str">
        <f>TEXT(X85,"")</f>
        <v xml:space="preserve">CERO </v>
      </c>
      <c r="Y86" s="73"/>
      <c r="Z86" s="73"/>
      <c r="AA86" s="73"/>
      <c r="AB86" s="73"/>
      <c r="AC86" s="75"/>
    </row>
    <row r="87" spans="2:29"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5"/>
    </row>
    <row r="88" spans="2:29"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5"/>
    </row>
    <row r="89" spans="2:29">
      <c r="B89" s="72"/>
      <c r="C89" s="73">
        <v>1</v>
      </c>
      <c r="D89" s="73" t="s">
        <v>101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5"/>
    </row>
    <row r="90" spans="2:29">
      <c r="B90" s="72"/>
      <c r="C90" s="73">
        <f t="shared" ref="C90:C117" si="8">+C89+1</f>
        <v>2</v>
      </c>
      <c r="D90" s="73" t="s">
        <v>102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5"/>
    </row>
    <row r="91" spans="2:29">
      <c r="B91" s="72"/>
      <c r="C91" s="73">
        <f t="shared" si="8"/>
        <v>3</v>
      </c>
      <c r="D91" s="73" t="s">
        <v>103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5"/>
    </row>
    <row r="92" spans="2:29">
      <c r="B92" s="72"/>
      <c r="C92" s="73">
        <f t="shared" si="8"/>
        <v>4</v>
      </c>
      <c r="D92" s="73" t="s">
        <v>104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5"/>
    </row>
    <row r="93" spans="2:29">
      <c r="B93" s="72"/>
      <c r="C93" s="73">
        <f t="shared" si="8"/>
        <v>5</v>
      </c>
      <c r="D93" s="73" t="s">
        <v>105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5"/>
    </row>
    <row r="94" spans="2:29">
      <c r="B94" s="72"/>
      <c r="C94" s="73">
        <f t="shared" si="8"/>
        <v>6</v>
      </c>
      <c r="D94" s="73" t="s">
        <v>106</v>
      </c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5"/>
    </row>
    <row r="95" spans="2:29">
      <c r="B95" s="72"/>
      <c r="C95" s="73">
        <f t="shared" si="8"/>
        <v>7</v>
      </c>
      <c r="D95" s="73" t="s">
        <v>107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5"/>
    </row>
    <row r="96" spans="2:29">
      <c r="B96" s="72"/>
      <c r="C96" s="73">
        <f t="shared" si="8"/>
        <v>8</v>
      </c>
      <c r="D96" s="73" t="s">
        <v>108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5"/>
    </row>
    <row r="97" spans="2:29">
      <c r="B97" s="72"/>
      <c r="C97" s="73">
        <f t="shared" si="8"/>
        <v>9</v>
      </c>
      <c r="D97" s="73" t="s">
        <v>109</v>
      </c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5"/>
    </row>
    <row r="98" spans="2:29">
      <c r="B98" s="72"/>
      <c r="C98" s="73">
        <f t="shared" si="8"/>
        <v>10</v>
      </c>
      <c r="D98" s="73" t="s">
        <v>110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5"/>
    </row>
    <row r="99" spans="2:29">
      <c r="B99" s="72"/>
      <c r="C99" s="73">
        <f t="shared" si="8"/>
        <v>11</v>
      </c>
      <c r="D99" s="73" t="s">
        <v>111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5"/>
    </row>
    <row r="100" spans="2:29">
      <c r="B100" s="72"/>
      <c r="C100" s="73">
        <f t="shared" si="8"/>
        <v>12</v>
      </c>
      <c r="D100" s="73" t="s">
        <v>112</v>
      </c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5"/>
    </row>
    <row r="101" spans="2:29">
      <c r="B101" s="72"/>
      <c r="C101" s="73">
        <f t="shared" si="8"/>
        <v>13</v>
      </c>
      <c r="D101" s="73" t="s">
        <v>113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5"/>
    </row>
    <row r="102" spans="2:29">
      <c r="B102" s="72"/>
      <c r="C102" s="73">
        <f t="shared" si="8"/>
        <v>14</v>
      </c>
      <c r="D102" s="73" t="s">
        <v>114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5"/>
    </row>
    <row r="103" spans="2:29">
      <c r="B103" s="72"/>
      <c r="C103" s="73">
        <f t="shared" si="8"/>
        <v>15</v>
      </c>
      <c r="D103" s="73" t="s">
        <v>115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5"/>
    </row>
    <row r="104" spans="2:29">
      <c r="B104" s="72"/>
      <c r="C104" s="73">
        <f t="shared" si="8"/>
        <v>16</v>
      </c>
      <c r="D104" s="73" t="s">
        <v>116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5"/>
    </row>
    <row r="105" spans="2:29">
      <c r="B105" s="72"/>
      <c r="C105" s="73">
        <f t="shared" si="8"/>
        <v>17</v>
      </c>
      <c r="D105" s="73" t="s">
        <v>117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5"/>
    </row>
    <row r="106" spans="2:29">
      <c r="B106" s="72"/>
      <c r="C106" s="73">
        <f t="shared" si="8"/>
        <v>18</v>
      </c>
      <c r="D106" s="73" t="s">
        <v>118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5"/>
    </row>
    <row r="107" spans="2:29">
      <c r="B107" s="72"/>
      <c r="C107" s="73">
        <f t="shared" si="8"/>
        <v>19</v>
      </c>
      <c r="D107" s="73" t="s">
        <v>119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5"/>
    </row>
    <row r="108" spans="2:29">
      <c r="B108" s="72"/>
      <c r="C108" s="73">
        <f t="shared" si="8"/>
        <v>20</v>
      </c>
      <c r="D108" s="73" t="s">
        <v>120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5"/>
    </row>
    <row r="109" spans="2:29">
      <c r="B109" s="72"/>
      <c r="C109" s="73">
        <f t="shared" si="8"/>
        <v>21</v>
      </c>
      <c r="D109" s="73" t="s">
        <v>121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5"/>
    </row>
    <row r="110" spans="2:29">
      <c r="B110" s="72"/>
      <c r="C110" s="73">
        <f t="shared" si="8"/>
        <v>22</v>
      </c>
      <c r="D110" s="73" t="s">
        <v>122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5"/>
    </row>
    <row r="111" spans="2:29">
      <c r="B111" s="72"/>
      <c r="C111" s="73">
        <f t="shared" si="8"/>
        <v>23</v>
      </c>
      <c r="D111" s="73" t="s">
        <v>123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5"/>
    </row>
    <row r="112" spans="2:29">
      <c r="B112" s="72"/>
      <c r="C112" s="73">
        <f t="shared" si="8"/>
        <v>24</v>
      </c>
      <c r="D112" s="73" t="s">
        <v>124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5"/>
    </row>
    <row r="113" spans="2:29">
      <c r="B113" s="72"/>
      <c r="C113" s="73">
        <f t="shared" si="8"/>
        <v>25</v>
      </c>
      <c r="D113" s="73" t="s">
        <v>125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5"/>
    </row>
    <row r="114" spans="2:29">
      <c r="B114" s="72"/>
      <c r="C114" s="73">
        <f t="shared" si="8"/>
        <v>26</v>
      </c>
      <c r="D114" s="73" t="s">
        <v>126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5"/>
    </row>
    <row r="115" spans="2:29">
      <c r="B115" s="72"/>
      <c r="C115" s="73">
        <f t="shared" si="8"/>
        <v>27</v>
      </c>
      <c r="D115" s="73" t="s">
        <v>127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5"/>
    </row>
    <row r="116" spans="2:29">
      <c r="B116" s="72"/>
      <c r="C116" s="73">
        <f t="shared" si="8"/>
        <v>28</v>
      </c>
      <c r="D116" s="73" t="s">
        <v>128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5"/>
    </row>
    <row r="117" spans="2:29">
      <c r="B117" s="72"/>
      <c r="C117" s="73">
        <f t="shared" si="8"/>
        <v>29</v>
      </c>
      <c r="D117" s="73" t="s">
        <v>129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5"/>
    </row>
    <row r="118" spans="2:29"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5"/>
    </row>
    <row r="119" spans="2:29">
      <c r="B119" s="72">
        <v>3</v>
      </c>
      <c r="C119" s="73">
        <v>30</v>
      </c>
      <c r="D119" s="73" t="s">
        <v>130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5"/>
    </row>
    <row r="120" spans="2:29">
      <c r="B120" s="72">
        <v>4</v>
      </c>
      <c r="C120" s="73">
        <v>40</v>
      </c>
      <c r="D120" s="73" t="s">
        <v>131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5"/>
    </row>
    <row r="121" spans="2:29">
      <c r="B121" s="72">
        <v>5</v>
      </c>
      <c r="C121" s="73">
        <v>50</v>
      </c>
      <c r="D121" s="73" t="s">
        <v>132</v>
      </c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5"/>
    </row>
    <row r="122" spans="2:29">
      <c r="B122" s="72">
        <v>6</v>
      </c>
      <c r="C122" s="73">
        <v>60</v>
      </c>
      <c r="D122" s="73" t="s">
        <v>133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5"/>
    </row>
    <row r="123" spans="2:29">
      <c r="B123" s="72">
        <v>7</v>
      </c>
      <c r="C123" s="73">
        <v>70</v>
      </c>
      <c r="D123" s="73" t="s">
        <v>134</v>
      </c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5"/>
    </row>
    <row r="124" spans="2:29">
      <c r="B124" s="72">
        <v>8</v>
      </c>
      <c r="C124" s="73">
        <v>80</v>
      </c>
      <c r="D124" s="73" t="s">
        <v>135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5"/>
    </row>
    <row r="125" spans="2:29">
      <c r="B125" s="72">
        <v>9</v>
      </c>
      <c r="C125" s="73">
        <v>90</v>
      </c>
      <c r="D125" s="73" t="s">
        <v>136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5"/>
    </row>
    <row r="126" spans="2:29">
      <c r="B126" s="72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5"/>
    </row>
    <row r="127" spans="2:29">
      <c r="B127" s="72">
        <v>1</v>
      </c>
      <c r="C127" s="73">
        <v>100</v>
      </c>
      <c r="D127" s="73" t="s">
        <v>137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5"/>
    </row>
    <row r="128" spans="2:29">
      <c r="B128" s="72">
        <v>2</v>
      </c>
      <c r="C128" s="73">
        <v>200</v>
      </c>
      <c r="D128" s="73" t="s">
        <v>138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5"/>
    </row>
    <row r="129" spans="2:29">
      <c r="B129" s="72">
        <v>3</v>
      </c>
      <c r="C129" s="73">
        <v>300</v>
      </c>
      <c r="D129" s="73" t="s">
        <v>139</v>
      </c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5"/>
    </row>
    <row r="130" spans="2:29">
      <c r="B130" s="72">
        <v>4</v>
      </c>
      <c r="C130" s="73">
        <v>400</v>
      </c>
      <c r="D130" s="73" t="s">
        <v>140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5"/>
    </row>
    <row r="131" spans="2:29">
      <c r="B131" s="72">
        <v>5</v>
      </c>
      <c r="C131" s="73">
        <v>500</v>
      </c>
      <c r="D131" s="73" t="s">
        <v>141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5"/>
    </row>
    <row r="132" spans="2:29">
      <c r="B132" s="72">
        <v>6</v>
      </c>
      <c r="C132" s="73">
        <v>600</v>
      </c>
      <c r="D132" s="73" t="s">
        <v>142</v>
      </c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5"/>
    </row>
    <row r="133" spans="2:29">
      <c r="B133" s="72">
        <v>7</v>
      </c>
      <c r="C133" s="73">
        <v>700</v>
      </c>
      <c r="D133" s="73" t="s">
        <v>143</v>
      </c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5"/>
    </row>
    <row r="134" spans="2:29">
      <c r="B134" s="72">
        <v>8</v>
      </c>
      <c r="C134" s="73">
        <v>800</v>
      </c>
      <c r="D134" s="73" t="s">
        <v>144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5"/>
    </row>
    <row r="135" spans="2:29">
      <c r="B135" s="72">
        <v>9</v>
      </c>
      <c r="C135" s="73">
        <v>900</v>
      </c>
      <c r="D135" s="73" t="s">
        <v>145</v>
      </c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5"/>
    </row>
    <row r="136" spans="2:29">
      <c r="B136" s="72"/>
      <c r="C136" s="73">
        <v>1000</v>
      </c>
      <c r="D136" s="73" t="s">
        <v>146</v>
      </c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5"/>
    </row>
    <row r="137" spans="2:29" ht="14.1" thickBot="1">
      <c r="B137" s="83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5"/>
    </row>
    <row r="140" spans="2:29" ht="14.1" thickBot="1"/>
    <row r="141" spans="2:29">
      <c r="B141" s="50"/>
      <c r="C141" s="51"/>
      <c r="D141" s="51" t="s">
        <v>88</v>
      </c>
      <c r="E141" s="52" t="s">
        <v>89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3"/>
    </row>
    <row r="142" spans="2:29">
      <c r="B142" s="55"/>
      <c r="D142" s="54" t="s">
        <v>90</v>
      </c>
      <c r="E142" s="56"/>
      <c r="AC142" s="57"/>
    </row>
    <row r="143" spans="2:29" ht="14.1" thickBot="1">
      <c r="B143" s="55"/>
      <c r="D143" s="86"/>
      <c r="AC143" s="57"/>
    </row>
    <row r="144" spans="2:29" ht="14.1" thickBot="1">
      <c r="B144" s="55"/>
      <c r="D144" s="87">
        <f>'[1]ACUEDUCTO-MinimoVital'!E45</f>
        <v>14713057.403999999</v>
      </c>
      <c r="E144" s="182" t="str">
        <f>X147&amp;Y147&amp;X148&amp;Y148&amp;X149&amp;Y149&amp;X150&amp;Y150&amp;X151&amp;Y151&amp;X152&amp;Y152&amp;X153&amp;Y153&amp;X154&amp;Y154&amp;X155&amp;Y155&amp;" "&amp;IF(X156="UN","Peso",E141)&amp;" "&amp;D147&amp;E142</f>
        <v>catrorce millones setecientos trece mil cincuenta y siete pesos, 40</v>
      </c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AC144" s="57"/>
    </row>
    <row r="145" spans="2:29">
      <c r="B145" s="55"/>
      <c r="D145" s="88">
        <f>ROUND(D144,0)</f>
        <v>14713057</v>
      </c>
      <c r="E145" s="54" t="str">
        <f>PROPER(TEXT(E144,""))</f>
        <v>Catrorce Millones Setecientos Trece Mil Cincuenta Y Siete Pesos, 40</v>
      </c>
      <c r="AC145" s="57"/>
    </row>
    <row r="146" spans="2:29">
      <c r="B146" s="55"/>
      <c r="D146" s="88">
        <f>ROUND(+D144-D145,2)</f>
        <v>0.4</v>
      </c>
      <c r="W146" s="60">
        <f>IF(W147&lt;&gt;0,1,7)</f>
        <v>7</v>
      </c>
      <c r="AC146" s="57"/>
    </row>
    <row r="147" spans="2:29">
      <c r="B147" s="55"/>
      <c r="D147" s="86" t="str">
        <f>IF(D146=0,"00",TEXT(D146*100,"00"))</f>
        <v>40</v>
      </c>
      <c r="E147" s="54" t="s">
        <v>91</v>
      </c>
      <c r="F147" s="61">
        <f>IF(D144&gt;99999999.99,ROUNDDOWN(D144/100000000,0),0)</f>
        <v>0</v>
      </c>
      <c r="G147" s="62" t="str">
        <f>TEXT(F147,"0")</f>
        <v>0</v>
      </c>
      <c r="W147" s="61">
        <f t="shared" ref="W147:W155" si="9">SUM(F147:V147)</f>
        <v>0</v>
      </c>
      <c r="X147" s="54" t="str">
        <f>IF(W147=0,"",IF(AB149=100,"cien",IF(W147=1,"ciento",VLOOKUP(W147,$B$197:$D$205,3,FALSE))))</f>
        <v/>
      </c>
      <c r="Y147" s="54" t="str">
        <f>IF(X147&lt;&gt;""," ","")</f>
        <v/>
      </c>
      <c r="AC147" s="57"/>
    </row>
    <row r="148" spans="2:29">
      <c r="B148" s="55"/>
      <c r="D148" s="89"/>
      <c r="E148" s="54" t="s">
        <v>92</v>
      </c>
      <c r="F148" s="54">
        <f>IF(F147=0,0,IF(F147&lt;&gt;0,MID(D144,2,1),D144/10000000))</f>
        <v>0</v>
      </c>
      <c r="G148" s="63">
        <f t="shared" ref="G148:G155" si="10">VALUE(F148)</f>
        <v>0</v>
      </c>
      <c r="H148" s="64">
        <f>IF(D144&lt;=99999999.99,ROUNDDOWN(D144/10000000,0),0)</f>
        <v>1</v>
      </c>
      <c r="I148" s="62" t="str">
        <f>TEXT(H148,"0")</f>
        <v>1</v>
      </c>
      <c r="W148" s="61">
        <f t="shared" si="9"/>
        <v>1</v>
      </c>
      <c r="X148" s="54" t="str">
        <f>IF(W148=0,"",IF(W148&gt;=3,VLOOKUP(W148,$B$189:$D$195,3,FALSE),IF(W148&lt;=2,VLOOKUP($Z$149,$C$159:$D$187,2,FALSE))))</f>
        <v>catrorce</v>
      </c>
      <c r="Y148" s="54" t="str">
        <f>IF(AB149=0,"",IF(AA149=0," millones ",IF(W149=0," millones ",IF(Z149&gt;=30," y ",IF(W148=0,"",IF($Z$149&lt;30," millones ",""))))))</f>
        <v xml:space="preserve"> millones </v>
      </c>
      <c r="AC148" s="57"/>
    </row>
    <row r="149" spans="2:29">
      <c r="B149" s="55"/>
      <c r="E149" s="54" t="s">
        <v>93</v>
      </c>
      <c r="F149" s="54">
        <f>IF(F147=0,0,IF(F148&gt;=1,MID(D144,3,1),D144/1000000))</f>
        <v>0</v>
      </c>
      <c r="G149" s="63">
        <f t="shared" si="10"/>
        <v>0</v>
      </c>
      <c r="H149" s="54" t="str">
        <f>IF(H148=0,0,IF(H148&lt;&gt;0,MID(D144,2,1),D144/1000000))</f>
        <v>4</v>
      </c>
      <c r="I149" s="63">
        <f t="shared" ref="I149:I155" si="11">VALUE(H149)</f>
        <v>4</v>
      </c>
      <c r="J149" s="64">
        <f>IF(D144&lt;=9999999.99,ROUNDDOWN(D144/1000000,0),0)</f>
        <v>0</v>
      </c>
      <c r="K149" s="62" t="str">
        <f>TEXT(J149,"0")</f>
        <v>0</v>
      </c>
      <c r="W149" s="61">
        <f t="shared" si="9"/>
        <v>4</v>
      </c>
      <c r="X149" s="54" t="str">
        <f>IF(W149=0,"",IF(Z149&lt;10,VLOOKUP(W149,$C$159:$D$167,2,FALSE),IF(Z149&lt;=30,"",IF(Z149=11,"",IF(W149=1,"un ",VLOOKUP(W149,$C$159:$D$167,2,FALSE))))))</f>
        <v/>
      </c>
      <c r="Y149" s="54" t="str">
        <f>IF(AB149=1," millon ",IF(X149&lt;&gt;""," millones ",""))</f>
        <v/>
      </c>
      <c r="Z149" s="54">
        <f>+W148*10+W149</f>
        <v>14</v>
      </c>
      <c r="AA149" s="61">
        <f>+W148+W149</f>
        <v>5</v>
      </c>
      <c r="AB149" s="54">
        <f>+W147*100+W148*10+W149*1</f>
        <v>14</v>
      </c>
      <c r="AC149" s="57"/>
    </row>
    <row r="150" spans="2:29">
      <c r="B150" s="55"/>
      <c r="E150" s="54" t="s">
        <v>94</v>
      </c>
      <c r="F150" s="54">
        <f>IF(F147=0,0,IF(F149&gt;=1,MID(D144,4,1),D144/100000))</f>
        <v>0</v>
      </c>
      <c r="G150" s="63">
        <f t="shared" si="10"/>
        <v>0</v>
      </c>
      <c r="H150" s="54" t="str">
        <f>IF(H148=0,0,IF(H149&gt;=1,MID(D144,3,1),D144/100000))</f>
        <v>7</v>
      </c>
      <c r="I150" s="63">
        <f t="shared" si="11"/>
        <v>7</v>
      </c>
      <c r="J150" s="54">
        <f>IF(J149=0,0,IF(J149&gt;=1,MID(D144,2,1),D144/100000))</f>
        <v>0</v>
      </c>
      <c r="K150" s="63">
        <f t="shared" ref="K150:K155" si="12">VALUE(J150)</f>
        <v>0</v>
      </c>
      <c r="L150" s="64">
        <f>IF(D144&lt;=999999.99,ROUNDDOWN(D144/100000,0),0)</f>
        <v>0</v>
      </c>
      <c r="M150" s="62" t="str">
        <f>TEXT(L150,"0")</f>
        <v>0</v>
      </c>
      <c r="W150" s="61">
        <f t="shared" si="9"/>
        <v>7</v>
      </c>
      <c r="X150" s="54" t="str">
        <f>IF(W150=0,"",IF(AB152=100," cien",IF(W150=1," ciento",VLOOKUP(W150,$B$197:$D$205,3,FALSE))))</f>
        <v>setecientos</v>
      </c>
      <c r="Y150" s="54" t="s">
        <v>95</v>
      </c>
      <c r="AC150" s="57"/>
    </row>
    <row r="151" spans="2:29">
      <c r="B151" s="55"/>
      <c r="E151" s="54" t="s">
        <v>96</v>
      </c>
      <c r="F151" s="54">
        <f>IF(F147=0,0,IF(F150&gt;=1,MID(D144,5,1),D144/10000))</f>
        <v>0</v>
      </c>
      <c r="G151" s="63">
        <f t="shared" si="10"/>
        <v>0</v>
      </c>
      <c r="H151" s="54" t="str">
        <f>IF(H148=0,0,IF(H150&gt;=1,MID(D144,4,1),D144/10000))</f>
        <v>1</v>
      </c>
      <c r="I151" s="63">
        <f t="shared" si="11"/>
        <v>1</v>
      </c>
      <c r="J151" s="54">
        <f>IF(J149=0,0,IF(J150&gt;=1,MID(D144,3,1),D144/10000))</f>
        <v>0</v>
      </c>
      <c r="K151" s="63">
        <f t="shared" si="12"/>
        <v>0</v>
      </c>
      <c r="L151" s="54">
        <f>IF(L150=0,0,IF(L150&lt;&gt;0,MID(D144,2,1),D144/10000))</f>
        <v>0</v>
      </c>
      <c r="M151" s="63">
        <f>VALUE(L151)</f>
        <v>0</v>
      </c>
      <c r="N151" s="64">
        <f>IF(D144&lt;=99999.99,ROUNDDOWN(D144/10000,0),0)</f>
        <v>0</v>
      </c>
      <c r="O151" s="62" t="str">
        <f>TEXT(N151,"0")</f>
        <v>0</v>
      </c>
      <c r="W151" s="61">
        <f t="shared" si="9"/>
        <v>1</v>
      </c>
      <c r="X151" s="54" t="str">
        <f>IF(W151=0,"",IF(W151&gt;=3,VLOOKUP(W151,$B$189:$D$195,3,FALSE),IF(W151&lt;=2,VLOOKUP($Z$152,$C$159:$D$187,2,FALSE))))</f>
        <v>trece</v>
      </c>
      <c r="Y151" s="54" t="str">
        <f>IF(AB152=0,"",IF(AA152=W151," mil ",IF(Z152&gt;=30," y ","")))</f>
        <v/>
      </c>
      <c r="AC151" s="57"/>
    </row>
    <row r="152" spans="2:29">
      <c r="B152" s="55"/>
      <c r="E152" s="54" t="s">
        <v>97</v>
      </c>
      <c r="F152" s="54">
        <f>IF(F147=0,0,IF(F151&gt;=1,MID(D144,6,1),D144/1000))</f>
        <v>0</v>
      </c>
      <c r="G152" s="63">
        <f t="shared" si="10"/>
        <v>0</v>
      </c>
      <c r="H152" s="54" t="str">
        <f>IF(H148=0,0,IF(H151&gt;=1,MID(D144,5,1),D144/1000))</f>
        <v>3</v>
      </c>
      <c r="I152" s="63">
        <f t="shared" si="11"/>
        <v>3</v>
      </c>
      <c r="J152" s="54">
        <f>IF(J149=0,0,IF(J151&gt;=1,MID(D144,4,1),D144/1000))</f>
        <v>0</v>
      </c>
      <c r="K152" s="63">
        <f t="shared" si="12"/>
        <v>0</v>
      </c>
      <c r="L152" s="54">
        <f>IF(L150=0,0,IF(L151&gt;=1,MID(D144,3,1),D144/1000))</f>
        <v>0</v>
      </c>
      <c r="M152" s="63">
        <f>VALUE(L152)</f>
        <v>0</v>
      </c>
      <c r="N152" s="54">
        <f>IF(N151=0,0,IF(N151&gt;=1,MID(D144,2,1),D144/1000))</f>
        <v>0</v>
      </c>
      <c r="O152" s="63">
        <f>VALUE(N152)</f>
        <v>0</v>
      </c>
      <c r="P152" s="64">
        <f>IF(D144&lt;=9999.99,ROUNDDOWN(D144/1000,0),0)</f>
        <v>0</v>
      </c>
      <c r="Q152" s="62" t="str">
        <f>TEXT(P152,"0")</f>
        <v>0</v>
      </c>
      <c r="W152" s="61">
        <f t="shared" si="9"/>
        <v>3</v>
      </c>
      <c r="X152" s="54" t="str">
        <f>IF(W152=0,"",IF(Z152&lt;10,VLOOKUP(W152,$C$159:$D$167,2,FALSE),IF(Z152=21,"",IF(Z152=11,"",IF(W152=1,"un",IF(Z152&lt;=30,"",VLOOKUP(W152,$C$159:$D$167,2,FALSE)))))))</f>
        <v/>
      </c>
      <c r="Y152" s="54" t="str">
        <f>IF(AB152=0,"",IF(Y151=" mil ","",IF(AA152=0," mil ",IF(W152&lt;&gt;0," mil ",IF($Z$152&lt;30," mil ","")))))</f>
        <v xml:space="preserve"> mil </v>
      </c>
      <c r="Z152" s="54">
        <f>+W151*10+W152</f>
        <v>13</v>
      </c>
      <c r="AA152" s="61">
        <f>+W151+W152</f>
        <v>4</v>
      </c>
      <c r="AB152" s="54">
        <f>+W150*100+W151*10+W152*1</f>
        <v>713</v>
      </c>
      <c r="AC152" s="57"/>
    </row>
    <row r="153" spans="2:29">
      <c r="B153" s="55"/>
      <c r="E153" s="54" t="s">
        <v>98</v>
      </c>
      <c r="F153" s="54">
        <f>IF(F147=0,0,IF(F152&gt;=1,MID(D144,7,1),D144/100))</f>
        <v>0</v>
      </c>
      <c r="G153" s="63">
        <f t="shared" si="10"/>
        <v>0</v>
      </c>
      <c r="H153" s="54" t="str">
        <f>IF(H148=0,0,IF(H152&gt;=1,MID(D144,6,1),D144/100))</f>
        <v>0</v>
      </c>
      <c r="I153" s="63">
        <f t="shared" si="11"/>
        <v>0</v>
      </c>
      <c r="J153" s="54">
        <f>IF(J149=0,0,IF(J152&gt;=1,MID(D144,5,1),D144/100))</f>
        <v>0</v>
      </c>
      <c r="K153" s="63">
        <f t="shared" si="12"/>
        <v>0</v>
      </c>
      <c r="L153" s="54">
        <f>IF(L150=0,0,IF(L152&gt;=1,MID(D144,4,1),D144/100))</f>
        <v>0</v>
      </c>
      <c r="M153" s="63">
        <f>VALUE(L153)</f>
        <v>0</v>
      </c>
      <c r="N153" s="54">
        <f>IF(N151=0,0,IF(N152&gt;=1,MID(D144,3,1),D144/100))</f>
        <v>0</v>
      </c>
      <c r="O153" s="63">
        <f>VALUE(N153)</f>
        <v>0</v>
      </c>
      <c r="P153" s="54">
        <f>IF(P152=0,0,IF(P152&gt;=1,MID(D144,2,1),D144/100))</f>
        <v>0</v>
      </c>
      <c r="Q153" s="63">
        <f>VALUE(P153)</f>
        <v>0</v>
      </c>
      <c r="R153" s="64">
        <f>IF(D144&lt;=999.99,ROUNDDOWN(D144/100,0),0)</f>
        <v>0</v>
      </c>
      <c r="S153" s="62" t="str">
        <f>TEXT(R153,"0")</f>
        <v>0</v>
      </c>
      <c r="W153" s="61">
        <f t="shared" si="9"/>
        <v>0</v>
      </c>
      <c r="X153" s="54" t="str">
        <f>IF(W153=0,"",IF(AA155=100,"cien",IF(W153=1,"ciento",VLOOKUP(W153,$B$197:$D$205,3,FALSE))))</f>
        <v/>
      </c>
      <c r="Y153" s="54" t="str">
        <f>IF(X153&lt;&gt;""," ","")</f>
        <v/>
      </c>
      <c r="AC153" s="57"/>
    </row>
    <row r="154" spans="2:29">
      <c r="B154" s="55"/>
      <c r="E154" s="54" t="s">
        <v>99</v>
      </c>
      <c r="F154" s="54">
        <f>IF(F147=0,0,IF(F153&gt;=1,MID(D144,8,1),D144/10))</f>
        <v>0</v>
      </c>
      <c r="G154" s="63">
        <f t="shared" si="10"/>
        <v>0</v>
      </c>
      <c r="H154" s="54" t="str">
        <f>IF(H148=0,0,IF(H153&gt;=1,MID(D144,7,1),D144/10))</f>
        <v>5</v>
      </c>
      <c r="I154" s="63">
        <f t="shared" si="11"/>
        <v>5</v>
      </c>
      <c r="J154" s="54">
        <f>IF(J149=0,0,IF(J153&gt;=1,MID(D144,6,1),D144/10))</f>
        <v>0</v>
      </c>
      <c r="K154" s="63">
        <f t="shared" si="12"/>
        <v>0</v>
      </c>
      <c r="L154" s="54">
        <f>IF(L150=0,0,IF(L153&gt;=1,MID(D144,5,1),D144/10))</f>
        <v>0</v>
      </c>
      <c r="M154" s="63">
        <f>VALUE(L154)</f>
        <v>0</v>
      </c>
      <c r="N154" s="54">
        <f>IF(N151=0,0,IF(N153&gt;=1,MID(D144,4,1),D144/10))</f>
        <v>0</v>
      </c>
      <c r="O154" s="63">
        <f>VALUE(N154)</f>
        <v>0</v>
      </c>
      <c r="P154" s="54">
        <f>IF(P152=0,0,IF(P153&gt;=1,MID(D144,3,1),D144/10))</f>
        <v>0</v>
      </c>
      <c r="Q154" s="63">
        <f>VALUE(P154)</f>
        <v>0</v>
      </c>
      <c r="R154" s="54">
        <f>IF(R153=0,0,IF(R153&lt;&gt;0,MID(D144,2,1),D144/10))</f>
        <v>0</v>
      </c>
      <c r="S154" s="63">
        <f>VALUE(R154)</f>
        <v>0</v>
      </c>
      <c r="T154" s="64">
        <f>IF(D144&lt;=99.99,ROUNDDOWN(D144/10,0),0)</f>
        <v>0</v>
      </c>
      <c r="U154" s="62" t="str">
        <f>TEXT(T154,"0")</f>
        <v>0</v>
      </c>
      <c r="W154" s="61">
        <f t="shared" si="9"/>
        <v>5</v>
      </c>
      <c r="X154" s="54" t="str">
        <f>IF(W154=0,"",IF(W154&gt;=3,VLOOKUP(W154,$B$189:$D$195,3,FALSE),IF(W154&lt;=2,VLOOKUP($Z$155,$C$159:$D$187,2,FALSE))))</f>
        <v>cincuenta</v>
      </c>
      <c r="Y154" s="54" t="str">
        <f>IF(W154=0,"",IF(W155=0,"",IF(Z155&gt;=30," y ","")))</f>
        <v xml:space="preserve"> y </v>
      </c>
      <c r="AC154" s="57"/>
    </row>
    <row r="155" spans="2:29">
      <c r="B155" s="55"/>
      <c r="E155" s="54" t="s">
        <v>100</v>
      </c>
      <c r="F155" s="54">
        <f>IF(F147=0,0,IF(F154&gt;=1,MID(D144,9,1),D144/10))</f>
        <v>0</v>
      </c>
      <c r="G155" s="63">
        <f t="shared" si="10"/>
        <v>0</v>
      </c>
      <c r="H155" s="54" t="str">
        <f>IF(H148=0,0,IF(H154&gt;=1,MID(D144,8,1),D144/10))</f>
        <v>7</v>
      </c>
      <c r="I155" s="63">
        <f t="shared" si="11"/>
        <v>7</v>
      </c>
      <c r="J155" s="54">
        <f>IF(J149=0,0,IF(J154&gt;=1,MID(D144,7,1),D144/10))</f>
        <v>0</v>
      </c>
      <c r="K155" s="63">
        <f t="shared" si="12"/>
        <v>0</v>
      </c>
      <c r="L155" s="54">
        <f>IF(L150=0,0,IF(L154&gt;=1,MID(D144,6,1),D144/10))</f>
        <v>0</v>
      </c>
      <c r="M155" s="63">
        <f>VALUE(L155)</f>
        <v>0</v>
      </c>
      <c r="N155" s="54">
        <f>IF(N151=0,0,IF(N154&gt;=1,MID(D144,5,1),D144/10))</f>
        <v>0</v>
      </c>
      <c r="O155" s="63">
        <f>VALUE(N155)</f>
        <v>0</v>
      </c>
      <c r="P155" s="54">
        <f>IF(P152=0,0,IF(P154&gt;=1,MID(D144,4,1),D144/10))</f>
        <v>0</v>
      </c>
      <c r="Q155" s="63">
        <f>VALUE(P155)</f>
        <v>0</v>
      </c>
      <c r="R155" s="54">
        <f>IF(R153=0,0,IF(R154&gt;=1,MID(D144,3,1),D144/10))</f>
        <v>0</v>
      </c>
      <c r="S155" s="63">
        <f>VALUE(R155)</f>
        <v>0</v>
      </c>
      <c r="T155" s="54">
        <f>IF(T154=0,0,IF(T154&gt;=1,MID(D144,2,1),D144/1))</f>
        <v>0</v>
      </c>
      <c r="U155" s="63">
        <f>VALUE(T155)</f>
        <v>0</v>
      </c>
      <c r="V155" s="64">
        <f>IF(D144&lt;=9.99,ROUNDDOWN(D144/1,0),0)</f>
        <v>0</v>
      </c>
      <c r="W155" s="61">
        <f t="shared" si="9"/>
        <v>7</v>
      </c>
      <c r="X155" s="54" t="str">
        <f>IF(D144&lt;1,"CERO ",IF(W155=0,"",IF(Z155&lt;10,VLOOKUP(W155,$C$159:$D$167,2,FALSE),IF(Z155&lt;=30,"",VLOOKUP(W155,$C$159:$D$167,2,FALSE)))))</f>
        <v>siete</v>
      </c>
      <c r="Z155" s="54">
        <f>+W154*10+W155</f>
        <v>57</v>
      </c>
      <c r="AA155" s="61">
        <f>+W153*100+W154*10+W155*1</f>
        <v>57</v>
      </c>
      <c r="AC155" s="57"/>
    </row>
    <row r="156" spans="2:29">
      <c r="B156" s="55"/>
      <c r="X156" s="54" t="str">
        <f>TEXT(X155,"")</f>
        <v>siete</v>
      </c>
      <c r="AC156" s="57"/>
    </row>
    <row r="157" spans="2:29">
      <c r="B157" s="55"/>
      <c r="AC157" s="57"/>
    </row>
    <row r="158" spans="2:29">
      <c r="B158" s="55"/>
      <c r="AC158" s="57"/>
    </row>
    <row r="159" spans="2:29">
      <c r="B159" s="55"/>
      <c r="C159" s="54">
        <v>1</v>
      </c>
      <c r="D159" s="54" t="s">
        <v>101</v>
      </c>
      <c r="AC159" s="57"/>
    </row>
    <row r="160" spans="2:29">
      <c r="B160" s="55"/>
      <c r="C160" s="54">
        <f t="shared" ref="C160:C187" si="13">+C159+1</f>
        <v>2</v>
      </c>
      <c r="D160" s="54" t="s">
        <v>102</v>
      </c>
      <c r="AC160" s="57"/>
    </row>
    <row r="161" spans="2:29">
      <c r="B161" s="55"/>
      <c r="C161" s="54">
        <f t="shared" si="13"/>
        <v>3</v>
      </c>
      <c r="D161" s="54" t="s">
        <v>103</v>
      </c>
      <c r="AC161" s="57"/>
    </row>
    <row r="162" spans="2:29">
      <c r="B162" s="55"/>
      <c r="C162" s="54">
        <f t="shared" si="13"/>
        <v>4</v>
      </c>
      <c r="D162" s="54" t="s">
        <v>104</v>
      </c>
      <c r="AC162" s="57"/>
    </row>
    <row r="163" spans="2:29">
      <c r="B163" s="55"/>
      <c r="C163" s="54">
        <f t="shared" si="13"/>
        <v>5</v>
      </c>
      <c r="D163" s="54" t="s">
        <v>105</v>
      </c>
      <c r="AC163" s="57"/>
    </row>
    <row r="164" spans="2:29">
      <c r="B164" s="55"/>
      <c r="C164" s="54">
        <f t="shared" si="13"/>
        <v>6</v>
      </c>
      <c r="D164" s="54" t="s">
        <v>106</v>
      </c>
      <c r="AC164" s="57"/>
    </row>
    <row r="165" spans="2:29">
      <c r="B165" s="55"/>
      <c r="C165" s="54">
        <f t="shared" si="13"/>
        <v>7</v>
      </c>
      <c r="D165" s="54" t="s">
        <v>107</v>
      </c>
      <c r="AC165" s="57"/>
    </row>
    <row r="166" spans="2:29">
      <c r="B166" s="55"/>
      <c r="C166" s="54">
        <f t="shared" si="13"/>
        <v>8</v>
      </c>
      <c r="D166" s="54" t="s">
        <v>108</v>
      </c>
      <c r="AC166" s="57"/>
    </row>
    <row r="167" spans="2:29">
      <c r="B167" s="55"/>
      <c r="C167" s="54">
        <f t="shared" si="13"/>
        <v>9</v>
      </c>
      <c r="D167" s="54" t="s">
        <v>109</v>
      </c>
      <c r="AC167" s="57"/>
    </row>
    <row r="168" spans="2:29">
      <c r="B168" s="55"/>
      <c r="C168" s="54">
        <f t="shared" si="13"/>
        <v>10</v>
      </c>
      <c r="D168" s="54" t="s">
        <v>110</v>
      </c>
      <c r="AC168" s="57"/>
    </row>
    <row r="169" spans="2:29">
      <c r="B169" s="55"/>
      <c r="C169" s="54">
        <f t="shared" si="13"/>
        <v>11</v>
      </c>
      <c r="D169" s="54" t="s">
        <v>111</v>
      </c>
      <c r="AC169" s="57"/>
    </row>
    <row r="170" spans="2:29">
      <c r="B170" s="55"/>
      <c r="C170" s="54">
        <f t="shared" si="13"/>
        <v>12</v>
      </c>
      <c r="D170" s="54" t="s">
        <v>112</v>
      </c>
      <c r="AC170" s="57"/>
    </row>
    <row r="171" spans="2:29">
      <c r="B171" s="55"/>
      <c r="C171" s="54">
        <f t="shared" si="13"/>
        <v>13</v>
      </c>
      <c r="D171" s="54" t="s">
        <v>113</v>
      </c>
      <c r="AC171" s="57"/>
    </row>
    <row r="172" spans="2:29">
      <c r="B172" s="55"/>
      <c r="C172" s="54">
        <f t="shared" si="13"/>
        <v>14</v>
      </c>
      <c r="D172" s="54" t="s">
        <v>114</v>
      </c>
      <c r="AC172" s="57"/>
    </row>
    <row r="173" spans="2:29">
      <c r="B173" s="55"/>
      <c r="C173" s="54">
        <f t="shared" si="13"/>
        <v>15</v>
      </c>
      <c r="D173" s="54" t="s">
        <v>115</v>
      </c>
      <c r="AC173" s="57"/>
    </row>
    <row r="174" spans="2:29">
      <c r="B174" s="55"/>
      <c r="C174" s="54">
        <f t="shared" si="13"/>
        <v>16</v>
      </c>
      <c r="D174" s="54" t="s">
        <v>116</v>
      </c>
      <c r="AC174" s="57"/>
    </row>
    <row r="175" spans="2:29">
      <c r="B175" s="55"/>
      <c r="C175" s="54">
        <f t="shared" si="13"/>
        <v>17</v>
      </c>
      <c r="D175" s="54" t="s">
        <v>117</v>
      </c>
      <c r="AC175" s="57"/>
    </row>
    <row r="176" spans="2:29">
      <c r="B176" s="55"/>
      <c r="C176" s="54">
        <f t="shared" si="13"/>
        <v>18</v>
      </c>
      <c r="D176" s="54" t="s">
        <v>118</v>
      </c>
      <c r="AC176" s="57"/>
    </row>
    <row r="177" spans="2:29">
      <c r="B177" s="55"/>
      <c r="C177" s="54">
        <f t="shared" si="13"/>
        <v>19</v>
      </c>
      <c r="D177" s="54" t="s">
        <v>119</v>
      </c>
      <c r="AC177" s="57"/>
    </row>
    <row r="178" spans="2:29">
      <c r="B178" s="55"/>
      <c r="C178" s="54">
        <f t="shared" si="13"/>
        <v>20</v>
      </c>
      <c r="D178" s="54" t="s">
        <v>120</v>
      </c>
      <c r="AC178" s="57"/>
    </row>
    <row r="179" spans="2:29">
      <c r="B179" s="55"/>
      <c r="C179" s="54">
        <f t="shared" si="13"/>
        <v>21</v>
      </c>
      <c r="D179" s="54" t="s">
        <v>121</v>
      </c>
      <c r="AC179" s="57"/>
    </row>
    <row r="180" spans="2:29">
      <c r="B180" s="55"/>
      <c r="C180" s="54">
        <f t="shared" si="13"/>
        <v>22</v>
      </c>
      <c r="D180" s="54" t="s">
        <v>122</v>
      </c>
      <c r="AC180" s="57"/>
    </row>
    <row r="181" spans="2:29">
      <c r="B181" s="55"/>
      <c r="C181" s="54">
        <f t="shared" si="13"/>
        <v>23</v>
      </c>
      <c r="D181" s="54" t="s">
        <v>123</v>
      </c>
      <c r="AC181" s="57"/>
    </row>
    <row r="182" spans="2:29">
      <c r="B182" s="55"/>
      <c r="C182" s="54">
        <f t="shared" si="13"/>
        <v>24</v>
      </c>
      <c r="D182" s="54" t="s">
        <v>124</v>
      </c>
      <c r="AC182" s="57"/>
    </row>
    <row r="183" spans="2:29">
      <c r="B183" s="55"/>
      <c r="C183" s="54">
        <f t="shared" si="13"/>
        <v>25</v>
      </c>
      <c r="D183" s="54" t="s">
        <v>125</v>
      </c>
      <c r="AC183" s="57"/>
    </row>
    <row r="184" spans="2:29">
      <c r="B184" s="55"/>
      <c r="C184" s="54">
        <f t="shared" si="13"/>
        <v>26</v>
      </c>
      <c r="D184" s="54" t="s">
        <v>126</v>
      </c>
      <c r="AC184" s="57"/>
    </row>
    <row r="185" spans="2:29">
      <c r="B185" s="55"/>
      <c r="C185" s="54">
        <f t="shared" si="13"/>
        <v>27</v>
      </c>
      <c r="D185" s="54" t="s">
        <v>127</v>
      </c>
      <c r="AC185" s="57"/>
    </row>
    <row r="186" spans="2:29">
      <c r="B186" s="55"/>
      <c r="C186" s="54">
        <f t="shared" si="13"/>
        <v>28</v>
      </c>
      <c r="D186" s="54" t="s">
        <v>128</v>
      </c>
      <c r="AC186" s="57"/>
    </row>
    <row r="187" spans="2:29">
      <c r="B187" s="55"/>
      <c r="C187" s="54">
        <f t="shared" si="13"/>
        <v>29</v>
      </c>
      <c r="D187" s="54" t="s">
        <v>129</v>
      </c>
      <c r="AC187" s="57"/>
    </row>
    <row r="188" spans="2:29">
      <c r="B188" s="55"/>
      <c r="AC188" s="57"/>
    </row>
    <row r="189" spans="2:29">
      <c r="B189" s="55">
        <v>3</v>
      </c>
      <c r="C189" s="54">
        <v>30</v>
      </c>
      <c r="D189" s="54" t="s">
        <v>130</v>
      </c>
      <c r="AC189" s="57"/>
    </row>
    <row r="190" spans="2:29">
      <c r="B190" s="55">
        <v>4</v>
      </c>
      <c r="C190" s="54">
        <v>40</v>
      </c>
      <c r="D190" s="54" t="s">
        <v>131</v>
      </c>
      <c r="AC190" s="57"/>
    </row>
    <row r="191" spans="2:29">
      <c r="B191" s="55">
        <v>5</v>
      </c>
      <c r="C191" s="54">
        <v>50</v>
      </c>
      <c r="D191" s="54" t="s">
        <v>132</v>
      </c>
      <c r="AC191" s="57"/>
    </row>
    <row r="192" spans="2:29">
      <c r="B192" s="55">
        <v>6</v>
      </c>
      <c r="C192" s="54">
        <v>60</v>
      </c>
      <c r="D192" s="54" t="s">
        <v>133</v>
      </c>
      <c r="AC192" s="57"/>
    </row>
    <row r="193" spans="2:29">
      <c r="B193" s="55">
        <v>7</v>
      </c>
      <c r="C193" s="54">
        <v>70</v>
      </c>
      <c r="D193" s="54" t="s">
        <v>134</v>
      </c>
      <c r="AC193" s="57"/>
    </row>
    <row r="194" spans="2:29">
      <c r="B194" s="55">
        <v>8</v>
      </c>
      <c r="C194" s="54">
        <v>80</v>
      </c>
      <c r="D194" s="54" t="s">
        <v>135</v>
      </c>
      <c r="AC194" s="57"/>
    </row>
    <row r="195" spans="2:29">
      <c r="B195" s="55">
        <v>9</v>
      </c>
      <c r="C195" s="54">
        <v>90</v>
      </c>
      <c r="D195" s="54" t="s">
        <v>136</v>
      </c>
      <c r="AC195" s="57"/>
    </row>
    <row r="196" spans="2:29">
      <c r="B196" s="55"/>
      <c r="AC196" s="57"/>
    </row>
    <row r="197" spans="2:29">
      <c r="B197" s="55">
        <v>1</v>
      </c>
      <c r="C197" s="54">
        <v>100</v>
      </c>
      <c r="D197" s="54" t="s">
        <v>137</v>
      </c>
      <c r="AC197" s="57"/>
    </row>
    <row r="198" spans="2:29">
      <c r="B198" s="55">
        <v>2</v>
      </c>
      <c r="C198" s="54">
        <v>200</v>
      </c>
      <c r="D198" s="54" t="s">
        <v>138</v>
      </c>
      <c r="AC198" s="57"/>
    </row>
    <row r="199" spans="2:29">
      <c r="B199" s="55">
        <v>3</v>
      </c>
      <c r="C199" s="54">
        <v>300</v>
      </c>
      <c r="D199" s="54" t="s">
        <v>139</v>
      </c>
      <c r="AC199" s="57"/>
    </row>
    <row r="200" spans="2:29">
      <c r="B200" s="55">
        <v>4</v>
      </c>
      <c r="C200" s="54">
        <v>400</v>
      </c>
      <c r="D200" s="54" t="s">
        <v>140</v>
      </c>
      <c r="AC200" s="57"/>
    </row>
    <row r="201" spans="2:29">
      <c r="B201" s="55">
        <v>5</v>
      </c>
      <c r="C201" s="54">
        <v>500</v>
      </c>
      <c r="D201" s="54" t="s">
        <v>141</v>
      </c>
      <c r="AC201" s="57"/>
    </row>
    <row r="202" spans="2:29">
      <c r="B202" s="55">
        <v>6</v>
      </c>
      <c r="C202" s="54">
        <v>600</v>
      </c>
      <c r="D202" s="54" t="s">
        <v>142</v>
      </c>
      <c r="AC202" s="57"/>
    </row>
    <row r="203" spans="2:29">
      <c r="B203" s="55">
        <v>7</v>
      </c>
      <c r="C203" s="54">
        <v>700</v>
      </c>
      <c r="D203" s="54" t="s">
        <v>143</v>
      </c>
      <c r="AC203" s="57"/>
    </row>
    <row r="204" spans="2:29">
      <c r="B204" s="55">
        <v>8</v>
      </c>
      <c r="C204" s="54">
        <v>800</v>
      </c>
      <c r="D204" s="54" t="s">
        <v>144</v>
      </c>
      <c r="AC204" s="57"/>
    </row>
    <row r="205" spans="2:29">
      <c r="B205" s="55">
        <v>9</v>
      </c>
      <c r="C205" s="54">
        <v>900</v>
      </c>
      <c r="D205" s="54" t="s">
        <v>145</v>
      </c>
      <c r="AC205" s="57"/>
    </row>
    <row r="206" spans="2:29">
      <c r="B206" s="55"/>
      <c r="C206" s="54">
        <v>1000</v>
      </c>
      <c r="D206" s="54" t="s">
        <v>146</v>
      </c>
      <c r="AC206" s="57"/>
    </row>
    <row r="207" spans="2:29" ht="14.1" thickBot="1"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7"/>
    </row>
  </sheetData>
  <sheetProtection algorithmName="SHA-512" hashValue="+hk8bQPRpxbtSGBXliKTCBCsvfyTr3I6K6GrSHKmh2Q53zks6lrxkCdEHjrjKTE1lAIwp4H2u+mWAdiuwoiQEQ==" saltValue="SAW0WVmrofm2XDIs2RbjnQ==" spinCount="100000" sheet="1" objects="1" scenarios="1"/>
  <mergeCells count="3">
    <mergeCell ref="E4:W4"/>
    <mergeCell ref="E74:W74"/>
    <mergeCell ref="E144:W144"/>
  </mergeCells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Daniel Enrique Febres Cordero</cp:lastModifiedBy>
  <cp:revision/>
  <dcterms:created xsi:type="dcterms:W3CDTF">2018-07-11T03:23:56Z</dcterms:created>
  <dcterms:modified xsi:type="dcterms:W3CDTF">2022-10-24T16:13:17Z</dcterms:modified>
  <cp:category/>
  <cp:contentStatus/>
</cp:coreProperties>
</file>