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in.galindo\OneDrive - habitatbogota\2021\Plan de accion\Pagina web\"/>
    </mc:Choice>
  </mc:AlternateContent>
  <bookViews>
    <workbookView xWindow="0" yWindow="0" windowWidth="19200" windowHeight="11595"/>
  </bookViews>
  <sheets>
    <sheet name="Matriz Seguimiento" sheetId="1" r:id="rId1"/>
  </sheets>
  <externalReferences>
    <externalReference r:id="rId2"/>
    <externalReference r:id="rId3"/>
  </externalReferences>
  <definedNames>
    <definedName name="_xlnm._FilterDatabase" localSheetId="0" hidden="1">'Matriz Seguimiento'!$H$7:$AE$24</definedName>
    <definedName name="condicion">[1]Hoja3!$N$40:$N$45</definedName>
    <definedName name="edad">[1]Hoja3!$I$40:$I$45</definedName>
    <definedName name="etnias">[1]Hoja3!$L$40:$L$43</definedName>
    <definedName name="genero">[1]Hoja3!$M$40:$M$41</definedName>
    <definedName name="INDICADOR">[2]Hoja3!$G$5:$G$10</definedName>
    <definedName name="localidad">[1]Hoja3!$E$5:$E$24</definedName>
    <definedName name="objetivos">[2]Hoja3!$I$32:$I$35</definedName>
    <definedName name="responsable">[1]Hoja3!$M$5:$M$18</definedName>
    <definedName name="SUBSECRETARIA">[2]Hoja3!$O$5:$O$10</definedName>
    <definedName name="tactividad">[1]Hoja3!$C$5:$C$6</definedName>
    <definedName name="tmeta">[1]Hoja3!$A$5:$A$7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1" l="1"/>
  <c r="AA24" i="1"/>
  <c r="X24" i="1"/>
  <c r="S24" i="1"/>
  <c r="O24" i="1"/>
  <c r="R24" i="1" s="1"/>
  <c r="N24" i="1"/>
  <c r="AE23" i="1"/>
  <c r="AC23" i="1"/>
  <c r="T23" i="1"/>
  <c r="AD23" i="1" s="1"/>
  <c r="O23" i="1"/>
  <c r="N23" i="1"/>
  <c r="S23" i="1" s="1"/>
  <c r="X23" i="1" s="1"/>
  <c r="AA23" i="1" s="1"/>
  <c r="AE22" i="1"/>
  <c r="AD22" i="1"/>
  <c r="AC22" i="1"/>
  <c r="T22" i="1"/>
  <c r="S22" i="1"/>
  <c r="X22" i="1" s="1"/>
  <c r="AA22" i="1" s="1"/>
  <c r="N22" i="1"/>
  <c r="R22" i="1" s="1"/>
  <c r="AE21" i="1"/>
  <c r="AD21" i="1"/>
  <c r="W21" i="1"/>
  <c r="T21" i="1"/>
  <c r="S21" i="1"/>
  <c r="X21" i="1" s="1"/>
  <c r="AA21" i="1" s="1"/>
  <c r="O21" i="1"/>
  <c r="R21" i="1" s="1"/>
  <c r="N21" i="1"/>
  <c r="AE20" i="1"/>
  <c r="AD20" i="1"/>
  <c r="AC20" i="1"/>
  <c r="AA20" i="1"/>
  <c r="W20" i="1"/>
  <c r="R20" i="1"/>
  <c r="AE19" i="1"/>
  <c r="AD19" i="1"/>
  <c r="AC19" i="1"/>
  <c r="X19" i="1"/>
  <c r="AA19" i="1" s="1"/>
  <c r="S19" i="1"/>
  <c r="W19" i="1" s="1"/>
  <c r="R19" i="1"/>
  <c r="AE18" i="1"/>
  <c r="AC18" i="1"/>
  <c r="T18" i="1"/>
  <c r="AD18" i="1" s="1"/>
  <c r="R18" i="1"/>
  <c r="O18" i="1"/>
  <c r="N18" i="1"/>
  <c r="S18" i="1" s="1"/>
  <c r="X18" i="1" s="1"/>
  <c r="AA18" i="1" s="1"/>
  <c r="AE17" i="1"/>
  <c r="AD17" i="1"/>
  <c r="W17" i="1"/>
  <c r="T17" i="1"/>
  <c r="S17" i="1"/>
  <c r="X17" i="1" s="1"/>
  <c r="AA17" i="1" s="1"/>
  <c r="O17" i="1"/>
  <c r="R17" i="1" s="1"/>
  <c r="N17" i="1"/>
  <c r="AE16" i="1"/>
  <c r="AC16" i="1"/>
  <c r="T16" i="1"/>
  <c r="AD16" i="1" s="1"/>
  <c r="O16" i="1"/>
  <c r="N16" i="1"/>
  <c r="S16" i="1" s="1"/>
  <c r="X16" i="1" s="1"/>
  <c r="AA16" i="1" s="1"/>
  <c r="AE15" i="1"/>
  <c r="AD15" i="1"/>
  <c r="AC15" i="1"/>
  <c r="W15" i="1"/>
  <c r="S15" i="1"/>
  <c r="X15" i="1" s="1"/>
  <c r="AA15" i="1" s="1"/>
  <c r="R15" i="1"/>
  <c r="AE14" i="1"/>
  <c r="AD14" i="1"/>
  <c r="AC14" i="1"/>
  <c r="W14" i="1"/>
  <c r="S14" i="1"/>
  <c r="X14" i="1" s="1"/>
  <c r="AA14" i="1" s="1"/>
  <c r="R14" i="1"/>
  <c r="N14" i="1"/>
  <c r="AE13" i="1"/>
  <c r="AD13" i="1"/>
  <c r="AC13" i="1"/>
  <c r="S13" i="1"/>
  <c r="W13" i="1" s="1"/>
  <c r="O13" i="1"/>
  <c r="R13" i="1" s="1"/>
  <c r="N13" i="1"/>
  <c r="AE12" i="1"/>
  <c r="AC12" i="1"/>
  <c r="T12" i="1"/>
  <c r="AD12" i="1" s="1"/>
  <c r="R12" i="1"/>
  <c r="O12" i="1"/>
  <c r="N12" i="1"/>
  <c r="S12" i="1" s="1"/>
  <c r="X12" i="1" s="1"/>
  <c r="AA12" i="1" s="1"/>
  <c r="AE11" i="1"/>
  <c r="AD11" i="1"/>
  <c r="W11" i="1"/>
  <c r="T11" i="1"/>
  <c r="S11" i="1"/>
  <c r="X11" i="1" s="1"/>
  <c r="AA11" i="1" s="1"/>
  <c r="O11" i="1"/>
  <c r="R11" i="1" s="1"/>
  <c r="N11" i="1"/>
  <c r="AE10" i="1"/>
  <c r="AC10" i="1"/>
  <c r="T10" i="1"/>
  <c r="AD10" i="1" s="1"/>
  <c r="O10" i="1"/>
  <c r="N10" i="1"/>
  <c r="S10" i="1" s="1"/>
  <c r="X10" i="1" s="1"/>
  <c r="AA10" i="1" s="1"/>
  <c r="AE9" i="1"/>
  <c r="AD9" i="1"/>
  <c r="AC9" i="1"/>
  <c r="W9" i="1"/>
  <c r="S9" i="1"/>
  <c r="X9" i="1" s="1"/>
  <c r="AA9" i="1" s="1"/>
  <c r="R9" i="1"/>
  <c r="AE8" i="1"/>
  <c r="AD8" i="1"/>
  <c r="AC8" i="1"/>
  <c r="W8" i="1"/>
  <c r="S8" i="1"/>
  <c r="X8" i="1" s="1"/>
  <c r="AA8" i="1" s="1"/>
  <c r="R8" i="1"/>
  <c r="Q3" i="1"/>
  <c r="O4" i="1" l="1"/>
  <c r="R10" i="1"/>
  <c r="X13" i="1"/>
  <c r="AA13" i="1" s="1"/>
  <c r="Q4" i="1" s="1"/>
  <c r="R16" i="1"/>
  <c r="W22" i="1"/>
  <c r="R23" i="1"/>
  <c r="AC11" i="1"/>
  <c r="O3" i="1" s="1"/>
  <c r="W12" i="1"/>
  <c r="AC17" i="1"/>
  <c r="W18" i="1"/>
  <c r="AC21" i="1"/>
  <c r="T24" i="1"/>
  <c r="AC24" i="1"/>
  <c r="W10" i="1"/>
  <c r="W16" i="1"/>
  <c r="W23" i="1"/>
  <c r="P4" i="1" l="1"/>
  <c r="AD24" i="1"/>
  <c r="P3" i="1" s="1"/>
  <c r="W24" i="1"/>
</calcChain>
</file>

<file path=xl/sharedStrings.xml><?xml version="1.0" encoding="utf-8"?>
<sst xmlns="http://schemas.openxmlformats.org/spreadsheetml/2006/main" count="234" uniqueCount="190">
  <si>
    <t>SEGUIMIENTO AL PLAN DE ACCIÓN INSTITUCIONAL</t>
  </si>
  <si>
    <t>RESULTADOS CONSOLIDADOS</t>
  </si>
  <si>
    <t>CORTE ABRIL</t>
  </si>
  <si>
    <t>CORTE AGOSTO</t>
  </si>
  <si>
    <t>CORTE DICIEMBRE</t>
  </si>
  <si>
    <t>Porcentaje Avance 
Plan Acción SDHT (COMPLETO)</t>
  </si>
  <si>
    <t>Mayor de 98%</t>
  </si>
  <si>
    <t>Entre 65,1% y 98%</t>
  </si>
  <si>
    <t>Entre 30,1% y 65%</t>
  </si>
  <si>
    <t>Menos de 30%</t>
  </si>
  <si>
    <t>Porcentaje Cumplimiento
Plan Acción SDHT (COMPLETO)</t>
  </si>
  <si>
    <t xml:space="preserve">PROYECTO DE INVERSIÓN ASOCIADO </t>
  </si>
  <si>
    <t xml:space="preserve">META </t>
  </si>
  <si>
    <t>INDICADOR</t>
  </si>
  <si>
    <t>AVANCE META CORTE MAYO 2021</t>
  </si>
  <si>
    <t>PLAN ASOCIADO 
(Según Decreto 612 y Guía Distrital)</t>
  </si>
  <si>
    <t>OBJETIVO DEL PLAN</t>
  </si>
  <si>
    <t>RESPONSABLE</t>
  </si>
  <si>
    <t>PROCESO RELACIONADO</t>
  </si>
  <si>
    <t>META</t>
  </si>
  <si>
    <t>NOMBRE INDICADOR</t>
  </si>
  <si>
    <t>FORMULA</t>
  </si>
  <si>
    <t>PRODUCTO O EVIDENCIA
(Fuente de verificación)</t>
  </si>
  <si>
    <t>AVANCE PROGRAMADO A 30 ABRIL 2021</t>
  </si>
  <si>
    <t>AVANCE EJECUTADO A 30  ABRIL 2021</t>
  </si>
  <si>
    <t>ANÁLISIS CUALITATIVO DEL AVANCE</t>
  </si>
  <si>
    <t>PORCENTAJE CUMPLIMIENTO EN EL PERIODO EVALUADO
(Programado / Ejecutado)
(CORTE ABRIL)</t>
  </si>
  <si>
    <t>AVANCE PROGRAMADO A 30 AGOSTO 2021</t>
  </si>
  <si>
    <t>AVANCE EJECUTADO A 30 AGOSTO 2021</t>
  </si>
  <si>
    <t>PORCENTAJE CUMPLIMIENTO EN EL PERIODO EVALUADO
(Programado / Ejecutado)
(CORTE AGOSTO)</t>
  </si>
  <si>
    <t>AVANCE PROGRAMADO A 31 DICIEMBRE 2021</t>
  </si>
  <si>
    <t>AVANCE EJECUTADO A 31 DICIEMBRE 2021</t>
  </si>
  <si>
    <t>PORCENTAJE CUMPLIMIENTO EN EL PERIODO EVALUADO
(Programado / Ejecutado)
(CORTE DICIEMBRE)</t>
  </si>
  <si>
    <t>APORTE DEL PLAN AL PLAN DE ACCIÓN (Ejecutado)</t>
  </si>
  <si>
    <t>Jul</t>
  </si>
  <si>
    <t>CORTE DIC</t>
  </si>
  <si>
    <t>Plan de Previsión de Recursos Humanos</t>
  </si>
  <si>
    <t>Consolidar y actualizar la información correspondiente a los cargos vacantes de la Entidad, proyectando los cambios que tendrían lugar una vez surtidos los procesos de convocatorias adelantados con la CNSC, con el fin de determinar las acciones al momento de provisión de estas, con el objetivo de garantizar la continuidad y la calidad en la prestación del servicio.</t>
  </si>
  <si>
    <t>Subdirección Administrativa</t>
  </si>
  <si>
    <t>Gestión Talento Humano</t>
  </si>
  <si>
    <t>Reportar el 100 % de vacantes definitivas</t>
  </si>
  <si>
    <t>Porcentaje de reporte de vacantes definitivas a la CNSC</t>
  </si>
  <si>
    <t>((Número de vacantes reportadas / Número de vacantes identificadas)*100)</t>
  </si>
  <si>
    <t>Reporte de las vacantes definitivas . Pantallazo del aplicativo de la CNSC</t>
  </si>
  <si>
    <t>Para este periodo la CNSC no informo a la SDHT que OPEC tienen vacantes definitivas, por lo cual no habia vacantes por reportar en este peridodo, por ende se cumple con la totalidad del porcentaje programado</t>
  </si>
  <si>
    <t xml:space="preserve">Se realizo el reporte a la CNSC de las vacantes definitivas de las OPEC 79044,79025 Y 79066 </t>
  </si>
  <si>
    <t>Plan Anual de Vacantes</t>
  </si>
  <si>
    <t>Identificar las vacantes existentes y/o que puedan generarse en la planta de personal de la entidad para la eficiente provisión, de acuerdo con los requisitos y perfiles profesionales establecidos en los manuales específicos de funciones con el fin de lograr el cumplimiento de la misión de la entidad.</t>
  </si>
  <si>
    <t xml:space="preserve">Gestionar el 100% de vacantes identificadas. </t>
  </si>
  <si>
    <t xml:space="preserve">Porcentaje de avance en la gestión de vacantes
</t>
  </si>
  <si>
    <t>((Número de actividades ejecutadas para la provisión de vacantes  / Número de actividades programadas para la provisión de vacantes)*100)</t>
  </si>
  <si>
    <t>Soporte de actividades</t>
  </si>
  <si>
    <t xml:space="preserve">Para este periodo se realizò el nombramiento en periodo de prueba  de 11 elegibles asi  
1. MARCELINO SOSA AMAYA. 2) MANUEL JAVIER MONCADA GALLÓN  3.) JHONN FREDDY VARGAS BRICEÑO 4) MARÍA ESPERANZA CORREDOR COLLAZOS 5)SANDRA LILIANA VERA SOTO 6) LUIS ANTONIO SARMIENTO MELO 7) CESAR AUGUSTO RINCON MORENO 8) BLANCA LUCILA MARTINEZ CRUZ 9) ANA BEATRIZ MONTERO ROMERO 10) SONIA MARGOTH CIFUENTES MUÑOZ 11) IVÁN ANTONIO CIFUENTES PÁEZ 12) DIANA ALEXANDRA CASTAÑEDA GUERRERO
Se dio respuesta a los radicados 1-2021-21940 y 20211020031161 de la CNSC    </t>
  </si>
  <si>
    <t>Para este periodo se realizò el nombramiento en periodo de prueba de 5 elegibles asi; 1) CLAUDIA GOMEZ MORALES. 2) JULIAN ERNESTO RODRIGUEZ 3) FRANCISCO GUILLERMO PEREZ 4)  JAVIER ERNESTO MESA CASTELLANOS  5) CARLOS JAVIER CASTILLO                                                                                                                             Se dio respuesta a los radicados 1-2021-30726, y 1-2021-26806                                                                                                                      Se realizò solicitud del uso de lista de elegibles a la CNSC de las siguientes OPEC 79036, 79063 Y 79069  mediante    radicado 2-2021 -38551 del 23 de julio de 2021 y ala fecha se esta a la espera de la respuesta de autorizacion por parte de la CNSC</t>
  </si>
  <si>
    <t>Plan Institucional De Capacitación</t>
  </si>
  <si>
    <t>Ayudar a la formación y fortalecimiento de competencias y conocimientos de los servidores de la Secretaria Distrital del Hábitat, por medio de las capacitaciones, entrenamiento, jornadas de inducción y reinducción, en virtud a las necesidades identificadas en el diagnóstico para el cumplimiento de los objetivos institucionales en pro del mejoramiento continuo en cada uno de los procesos de la SDHT.</t>
  </si>
  <si>
    <t>Cumplir con el 100% de las capacitaciones</t>
  </si>
  <si>
    <t>Porcentaje de cumplimiento del PIC</t>
  </si>
  <si>
    <t xml:space="preserve">(Capacitaciones realizadas / Capacitaciones Programadas) *100 </t>
  </si>
  <si>
    <t>Listados de Asistencia</t>
  </si>
  <si>
    <r>
      <rPr>
        <sz val="11"/>
        <rFont val="Calibri"/>
        <family val="2"/>
        <scheme val="minor"/>
      </rPr>
      <t>Se realizaron las actividades de capacitación 28  actividades de capacitación durante el periodo:
Enero:Inducción
Febrero: Brigada; Difusión, Forest; Inducción; Riesgo Psicosocial
Marzo:Antisoborno; Deberes, derechos y Obligaciones de los servidores publicos ; Forest; Lenguaje no sexista; Manejo del estres; Responsabilidad disciplinaria de los servidores publicos; Riesgo cardiovascular; Difusion capacitaciones
Que es COPASST, Funciones y Responsabilides, investigaciòn AT, responsabilidad legal; Que es Comité de Convivencia Laboral, Funciones y Responsabilidades, Normatividad
Abril:Atención victimas; estilos saludables; Forest; 
Perdida de elementos y documentos del estado; Curso SST; 
Inducción; Difusión Oferta virtual de capacitaciones
Capacitar y entrenar a las Brigadas,(Resolucion 0256 de 2014) en primeros auxilios, evacuación, control de incendios. Pista de entrenamiento</t>
    </r>
    <r>
      <rPr>
        <sz val="11"/>
        <color rgb="FFFF0000"/>
        <rFont val="Calibri"/>
        <family val="2"/>
        <scheme val="minor"/>
      </rPr>
      <t xml:space="preserve">
</t>
    </r>
  </si>
  <si>
    <t>Se realizaron 27 actividades de capacitación del periodo de mayo a agosto:
Mayo: Difusión;  Forest; Manejo del Secop; Riesgo Publico; 
Junio: Forest; Higiene del sueño; Inducción;Brigada; Copasst; Difusión; Entrega de EPPS;
Incidentes de trabajo; Riesgo Biologico.
Julio: Difusión; Equilibrio laboral ; Equilibrio Psicosocial
Agosto: Brigada; CREACION Y PUBLICACION DEL PLIEGO BORRADOR - secop; EJECUCION Y MODIFICACIONES AL CONTRATO -SECOP; Forest; Incumplimiento al manual de funciones; Inducción tecnologica; Internet de las cosas; OneDrive; 
EJECUCION Y MODIFICACIONES AL CONTRATO- secop; Tips servicio a la ciudadania; Uso de ofimatica</t>
  </si>
  <si>
    <t>Plan de Bienestar Social e Incentivos</t>
  </si>
  <si>
    <t>Fortalecer las estrategias y condiciones del Talento Humano en la Secretaría Distrital del Hábitat, mediante el diseño de estrategias y actividades que contribuyan al mejoramiento de la calidad de vida de los funcionarios para el logro de los objetivos institucionales de la Entidad.</t>
  </si>
  <si>
    <t xml:space="preserve">Cumplir el 100% del plan de trabajo anual de bienestar </t>
  </si>
  <si>
    <t xml:space="preserve">Porcentaje cumplimiento del Plan de trabajo </t>
  </si>
  <si>
    <t>(Número de actividades ejecutadas / Número actividades planeadas) * 100</t>
  </si>
  <si>
    <t>Soportes de las actividades ejecutadas</t>
  </si>
  <si>
    <t>Los avences que se presentan a corte de abril hacen referencia a las actividades de bienestar no contampladas en el contrato compensar como: Difusion pieza comunicativa cumpleaños, artividades de la caja de compensacion familiar, piezas communicativas fechas conmemorativas.</t>
  </si>
  <si>
    <t xml:space="preserve">Los avances que se presentan a corte de agosto hacen referencia a las actividades de bienestar no contempladas en el contrato con compensar como: Difusion pieza comunicativa cumpleaños, artividades de la caja de compensacion familiar, piezas communicativas fechas conmemorativas. Lo anterior teniendo encuenta que a la fecha no se habia firmado el plan de Bienestar e Incentivos con la caja de Compensacion familiar Compensar, donde estan contempladas la mayoria de las actividades programadas para la vigencia 2021. </t>
  </si>
  <si>
    <t>7754 Fortalecimiento Institucional de la Secretaría del Hábitat</t>
  </si>
  <si>
    <t>Implementar del sistema de gestión administrativa</t>
  </si>
  <si>
    <t>Cumplimiento Plan de Trabajo Anual del SGSST</t>
  </si>
  <si>
    <t>Plan Anual de Seguridad y Salud en el Trabajo</t>
  </si>
  <si>
    <t>Implementar, ejecutar y desarrollar de forma sistemática y oportuna el Sistema de Seguridad y Salud en el Trabajo 2021 de la SDHT conforme a los requisitos legales colombianos vigentes en materia de SST.</t>
  </si>
  <si>
    <t xml:space="preserve">Cumplir el 100% del Plan de Trabajo Anual de Seguridad y Salud en el Trabajo </t>
  </si>
  <si>
    <t xml:space="preserve">Porcentaje cumplimiento del Plan de trabajo anual </t>
  </si>
  <si>
    <t>Se ejecutaron las 73  actividades planedas en el periodo</t>
  </si>
  <si>
    <t>Se ejecutaron el total de las 76 actividades planedas para el cuatrimestre</t>
  </si>
  <si>
    <t xml:space="preserve">Implementar 1 Sistema de Gestión documental </t>
  </si>
  <si>
    <t>Número de sistemas de Gestión documental</t>
  </si>
  <si>
    <t>Plan Institucional de Archivos de la Entidad PINAR</t>
  </si>
  <si>
    <t>Presentar la planeación estratégica de la función archivística de la Secretaría Distrital del Hábitat, estableciendo las metas propuestas a corto, mediano y largo plazo, a fin de normalizar las actividades y asegurar la ejecución de los procesos de gestión documental en adecuado cumplimiento de los estándares normativos y técnicos a nivel Nacional y Distrital.</t>
  </si>
  <si>
    <t>Gestión Documental</t>
  </si>
  <si>
    <t>Garantizar el 100% de avance en los proyectos programados para la vigencia 2021</t>
  </si>
  <si>
    <t>Porcentaje de avance de los proyectos programados en 2021</t>
  </si>
  <si>
    <t>(Proyectos ejecutados en 2021 / Proyectos programados en 2021)*100</t>
  </si>
  <si>
    <t xml:space="preserve">Con el fin de dar cumpliento al objetivo planteado,  desde el Proceso de Gestión Documental en cabeza de la profesional especializada de Planta se adelantó la actualización de: 
Programa  de Gestion Documental 
Plan Institucional de Archivos., la Politica de Gestion Documenta, Diagnostico de Gestion Documental que salio aprobaodo y se adopto en la entidad en febrero del presente año 
Todos estos documentos fueron presentados al Comité que tiene funciones de Archivo, tal como se evidencia en los soportes entregados previamente. </t>
  </si>
  <si>
    <t>Plan de Conservación Documental</t>
  </si>
  <si>
    <t>Asegurar la conservación a largo plazo del acervo documental de la Secretaría Distrital del Hábitat-SDHT- en soporte físico y análogo; manteniendo las características de unidad, integridad, autenticidad, inalterabilidad, originalidad, fiabilidad y accesibilidad de la documentación, en cualquier fase del Ciclo Vital en la que esta se encuentre.</t>
  </si>
  <si>
    <t>Ejecutar el 100% de las actividades</t>
  </si>
  <si>
    <t xml:space="preserve">Porcentaje de actividades </t>
  </si>
  <si>
    <t>(Número actividades ejecutadas  / Número actividades programadas)*100</t>
  </si>
  <si>
    <t xml:space="preserve">Se han ejecutado las mediciones de las condiciones ambientales y dejado registro documental de ellas, así mismo se han ejecutados durante la vigencia 1  proceso de Saneamiento Ambiental,  todo ello ejecutado y acompañado por el persona de apoyo al proceso de Gestión Documental por medio del Contratista apoyo del  proceso de Gestion Documental así mismo, por medio del proceso de Bienes y Servicios  se ejecuta el programa de limpieza. </t>
  </si>
  <si>
    <t xml:space="preserve">Se han ejecutado las mediciones de las condiciones ambientales y dejado registro documental de ellas, así mismo se han ejecutados durante la vigencia 2  proceso de Saneamiento Ambiental,  todo ello ejecutado y acompañado por el persona de apoyo al proceso de Gestión Documental por medio del Contratista apoyo del  proceso de Gestion Documental así mismo, por meido del proceso de Bienes y Servicios  se ejecuta el programa de limpieza. </t>
  </si>
  <si>
    <t>Plan de Preservación Digital a Largo Plazo</t>
  </si>
  <si>
    <t>Propender por el acceso y la preservación a largo plazo del acervo documental de documentos electrónicos de archivo, que están definidos en las Tablas de Retención Documental – TRD, con las características de unidad, integridad autenticidad, inalterabilidad, originalidad, fiabilidad, accesibilidad2, desde la producción hasta la disposición final.</t>
  </si>
  <si>
    <t>Cumplir el 100% de avance en la estructuración del SIGA</t>
  </si>
  <si>
    <t>Porcentaje de estructuración del SIGA</t>
  </si>
  <si>
    <t>(Número mesas de trabajo ejecutadas / Número mesas de trabajo programadas ) *100</t>
  </si>
  <si>
    <t>Soporte mesas de trabajo</t>
  </si>
  <si>
    <t xml:space="preserve">La Entidad ha ejecutado mesas de trabajo con el fin de poder contar con el Sofware de la Alcaldía Mayor de Bogotá SIGA, como gestor documental. </t>
  </si>
  <si>
    <t>La Entidad ha ejecutado mesas de trabajo con el fin de poder contar con el Sofware de la Alcaldía Mayor de Bogotá SIGA, como gestor documental.</t>
  </si>
  <si>
    <t>7815 DESARROLLO DEL SISTEMA DE INFORMACIÓN MISIONAL Y ESTRATÉGICA DEL SECTOR HÁBITAT. BOGOTÁ</t>
  </si>
  <si>
    <t>ELABORAR 1 DOCUMENTO QUE CENTRALICE LOS COMPONENTES DE LA POLÍTICA DE GOBIERNO DIGITAL.</t>
  </si>
  <si>
    <t>Documento que centralicen los componentes de la Política de Gobierno Digital</t>
  </si>
  <si>
    <t>Plan Estratégico de Tecnologías de la Información - PETI</t>
  </si>
  <si>
    <t>El Plan Estratégico de Tecnologías de la Información (PETI) de la SDHT para el periodo (2021 – 2024), tiene como objetivo principal apoyar la transformación digital y fortalecer las capacidades de TI en la entidad; con la elaboración de una hoja de ruta con iniciativas de TI, objetivos, inversiones, metas y técnicas de comunicación de resultados. Busca asegurar el uso y máximo aprovechamiento de las Tecnologías de la Información, en el cumplimiento de la estrategia de la entidad, generando valor público con el fin de lograr la prestación de servicios eficientes a los ciudadanos y soportar la toma de decisiones institucional.</t>
  </si>
  <si>
    <t>Subsecretaría de Gestión Corporativa y CID</t>
  </si>
  <si>
    <t>Gestión Tecnológica</t>
  </si>
  <si>
    <t>Cumplir con el 100% Elaboración del PETI</t>
  </si>
  <si>
    <t>Porcentaje de avance de las actividades de elaboración del PETI</t>
  </si>
  <si>
    <t>(Número actividades para elaboración del PETI cumplidas / Número actividades para elaboración del PETI programadas) *100</t>
  </si>
  <si>
    <t>Documento PETI</t>
  </si>
  <si>
    <r>
      <rPr>
        <b/>
        <sz val="11"/>
        <color theme="1"/>
        <rFont val="Calibri"/>
        <family val="2"/>
        <scheme val="minor"/>
      </rPr>
      <t>Avance</t>
    </r>
    <r>
      <rPr>
        <sz val="11"/>
        <color theme="1"/>
        <rFont val="Calibri"/>
        <family val="2"/>
        <scheme val="minor"/>
      </rPr>
      <t xml:space="preserve">: Se diseñó un modelo de PETI basado en los lineamientos de MinTIC y mejores prácticas. Se dieron las directrices para el levantamiento de la información del "AS IS" o estado actual y el "TO BE" o proyectado, para los dominios de Estrategia y Gobierno de TI, Sistemas de Información, Infraestructura, Información y Uso y Apropiación. Se asignaron las actividades a los diferentes especialistas del equipo de Gestión Tecnológica, se aclararon dudas y se avanzó en el levantamiento de información y construcción de los diferentes capítulos contemplados, incluyendo los documentos anexos. 
</t>
    </r>
    <r>
      <rPr>
        <b/>
        <sz val="11"/>
        <color theme="1"/>
        <rFont val="Calibri"/>
        <family val="2"/>
        <scheme val="minor"/>
      </rPr>
      <t>Retrasos y ajustes:</t>
    </r>
    <r>
      <rPr>
        <sz val="11"/>
        <color theme="1"/>
        <rFont val="Calibri"/>
        <family val="2"/>
        <scheme val="minor"/>
      </rPr>
      <t xml:space="preserve"> Se habían programado las actividades generales necesarias para dar por finalizado el Plan Estratégico en el mes de Abril, pero se requirió cambiar el plan de trabajo, con actividades específicas de acuerdo con el documento modelo y asignar mayor tiempo para el levantamiento de la información. También se presentaron retrasos en la contratación de algunos especialistas. Se complementó el documento con todos los aspectos necesarios, de acuerdo con las mejores prácticas.</t>
    </r>
  </si>
  <si>
    <r>
      <rPr>
        <b/>
        <sz val="11"/>
        <color theme="1"/>
        <rFont val="Calibri"/>
        <family val="2"/>
        <scheme val="minor"/>
      </rPr>
      <t>Avance:</t>
    </r>
    <r>
      <rPr>
        <sz val="11"/>
        <color theme="1"/>
        <rFont val="Calibri"/>
        <family val="2"/>
        <scheme val="minor"/>
      </rPr>
      <t xml:space="preserve"> Se está finalizando el documento PETI 2021-2024; falta la ultima revisión de los temas de sistemas de información, la finalización de revisión de las fichas de proyecto, con base en el plan de brechas y de la hoja de ruta de proyectos. Posteriomente, se pasará a revisión y aprobación de los líderes del proceso.
</t>
    </r>
    <r>
      <rPr>
        <b/>
        <sz val="11"/>
        <color theme="1"/>
        <rFont val="Calibri"/>
        <family val="2"/>
        <scheme val="minor"/>
      </rPr>
      <t xml:space="preserve">
Retrasos y ajustes:</t>
    </r>
    <r>
      <rPr>
        <sz val="11"/>
        <color theme="1"/>
        <rFont val="Calibri"/>
        <family val="2"/>
        <scheme val="minor"/>
      </rPr>
      <t xml:space="preserve"> Faltaba la finalización de algunos temas relacionados con el dominio de Sistemas de Información, dado que el arquitecto de sistemas fue vinculado apenas en el mes de septiembre. Igualmente, faltan llas últimas revisiones y aprobaciones, para remitir a Programas y Proyectos y presentarlo al Comité Institucional de Gestión y Desempeño. El plan de trabajo ya había sido ajustado.</t>
    </r>
  </si>
  <si>
    <t>Plan de Seguridad y Privacidad de la Información</t>
  </si>
  <si>
    <t>Establecer las actividades que están contempladas en el Modelo de Seguridad y Privacidad de la Información, propuesto por el Ministerio de Tecnologías de la Información y las Comunicaciones MINTIC.</t>
  </si>
  <si>
    <t>Desarrollar el 100% del Plan de Seguridad y Privacidad de la Información</t>
  </si>
  <si>
    <t>Porcentaje de avance de actividades</t>
  </si>
  <si>
    <t>(Número actividades cumplidas / Número actividades programadas )*100</t>
  </si>
  <si>
    <t>Avance: Se socializaron temas concernientes con seguridad de la información durante el periodo asignado de la misma manera se adelantaron acciones encaminadas a actualizar políticas guías y procedimientos necesarios para el establecimiento del Modelo de Privacidad y Seguridad de la Información 
Retrasos y ajustes: No se presentaron retrasos para este periodo</t>
  </si>
  <si>
    <t>Avance: Se socializaron temas concernientes con seguridad de la información durante el periodo asignado mediante campañas de correo electrónico como sensibilizaciones a los colaboradores de la entidad de la misma manera se realizaron revisiones del manual de políticas de Seguridad de la Información, así como la verificación del cumplimiento de los planes de mejora del MSPI. 
Retrasos y ajustes: Para este periodo no se realizó el autodiagnóstico del modelo de Privacidad y Seguridad de la Información, actividad que se pretende realizar en el último trimestre del presente año, por tener un autodiagnóstico realizado en el ultimo semestre del año inmediatamente anterior.</t>
  </si>
  <si>
    <t>Plan de Tratamiento de Riesgos de Seguridad y Privacidad de la Información</t>
  </si>
  <si>
    <t>Establecer los lineamientos generales con el propósito de preservar los niveles de confidencialidad, integridad y disponibilidad de los activos de información, estableciendo y asignando las responsabilidades a los servidores públicos y terceros de la Secretaría Distrital del Hábitat, conforme a los controles de seguridad y privacidad de la información.</t>
  </si>
  <si>
    <t>Cumplir el 100% del Plan de Tratamiento de Riesgos de Seguridad y Privacidad de la Información</t>
  </si>
  <si>
    <t xml:space="preserve">Avance: Se realiza la consolidación de los riesgos de seguridad digital de los procesos que allegan para ser enviados a programas y proyectos 
Retrasos y ajustes: Para este periodo no se realzaron las pruebas de vulnerabilidad por temas de contratación, aunque se avanzó en los temas contractuales no fue posible realizar el análisis, contrato que se tiene como fecha de finalización diciembre y esta actividad estará concluida para el último trimestre del presente año.
</t>
  </si>
  <si>
    <t xml:space="preserve">Avance: Se realiza para este periodo la socialización a cada uno de los procesos y reuniones con cada uno de ellos del nuevo procedimiento y matriz de diligenciamiento de los riesgos de seguridad, tarea que se lleva mancomunadamente con el área de programas y proyectos para consolidar los riesgos de seguridad en la nueva matriz. 
Retrasos y ajustes: Para este periodo aunque se avanza en la sensibilización de los riesgos actualizados en la nueva matriz de diligenciamiento, no se cuenta con el consolidado para realizar el seguimiento a los indicadores dejando esta tarea para el ultimo trimestre del año en curso.
</t>
  </si>
  <si>
    <t>Plan Anual de Adquisiciones</t>
  </si>
  <si>
    <t>Elaborar, consolidar y publicar el Plan Anual de Adquisiciones, con la finalidad que la Entidad aumente las condiciones de competencia a través de la participación de mayor número de operadores interesados en los procesos de selección que se adelantarán en el periodo 2021, de conformidad con la normatividad vigente orientada por la Agencia Nacional de Contratación Pública Colombia Compra Eficiente respecto de la planeación institucional.</t>
  </si>
  <si>
    <t>Subsecretaría de Gestión Corporativa y CID-Subdirección Administrativa</t>
  </si>
  <si>
    <t>Gestión Contractual</t>
  </si>
  <si>
    <t>Garantizar el 100% de la publicación  de los objetos contractuales requeridos por la entidad</t>
  </si>
  <si>
    <t xml:space="preserve">Porcentaje de objetos contractuales publicados </t>
  </si>
  <si>
    <t>Porcentaje de publicación</t>
  </si>
  <si>
    <t>Documento Excel del PAA vigente descargado de SECOP II</t>
  </si>
  <si>
    <t xml:space="preserve">Se publico en la plataforma SECOP II, en su totalidad los objetos del PAA requeridos por la entidad, en el periodo comprendido desde el 01/01/2021 al 30/04/2021 </t>
  </si>
  <si>
    <t>Se publico en la plataforma SECOP II, en su totalidad los objetos del PAA requeridos por la entidad, en el periodo comprendido desde el 01/01/2021 al 31/08/2021</t>
  </si>
  <si>
    <t>Plan de Gasto Público</t>
  </si>
  <si>
    <t>Establecer los gastos destinados a inversión, como los procesos que se van a contratar en la vigencia, con el fin de tener un control sobre el presupuesto.</t>
  </si>
  <si>
    <t xml:space="preserve">Subdirección de Programas y Proyectos </t>
  </si>
  <si>
    <t>Direccionamiento Estratégico</t>
  </si>
  <si>
    <t>Gestionar el 100% de la inversión destinada a cumplir con las metas del Plan de Desarrollo</t>
  </si>
  <si>
    <t>Porcentaje de ejecución presupuestal</t>
  </si>
  <si>
    <t>(Presupuesto ejecutado / Presupuesto Apropiado)*100</t>
  </si>
  <si>
    <t>Tablero de control</t>
  </si>
  <si>
    <t xml:space="preserve">De acuerdo al plan de contratación vigente en el periodo de evaluación se tenia establecido una meta del 61%, sin embargo se presentaron demoras en la construcción de los documentos precontractuales y en la adjudicación de contratos que no permitio el logro de la meta llegando al 26% de ejecución </t>
  </si>
  <si>
    <t>De acuerdo al plan de contratación vigente en el periodo de evaluación se tenia establecido una meta del 91%, sin embargo se presentaron demoras en la construcción de los documentos precontractuales y en la adjudicación de contratos que no permitio el logro de la meta llegando al 76% de ejecución</t>
  </si>
  <si>
    <t>7606_Implementación de la ruta de la transparencia en Hábitat como un hábito Bogotá</t>
  </si>
  <si>
    <t>REALIZAR 5 PROCESOS DE SENSIBILIZACIÓN EN TEMAS DE LUCHA CONTRA LA CORRUPCIÓN PARA EL
PERSONAL QUE LABORA EN LA SDHT</t>
  </si>
  <si>
    <t>Número de procesos de sensibilización realizados</t>
  </si>
  <si>
    <t>Plan Anticorrupción y de Atención al Ciudadano</t>
  </si>
  <si>
    <t>Dar cumplimiento a lo ordenado por el artículo 73 de la Ley 1474 de 2011 que establece el deber de elaborar anualmente una estrategia de lucha contra la corrupción y de atención al ciudadano, a través del diseño y desarrollo de estrategias institucionales que promuevan la transparencia, la cero tolerancia con la corrupción, la promoción de ambientes virtuosos y la participación incidente de los grupos de interés tanto en el diseño como en la ejecución del plan.</t>
  </si>
  <si>
    <t>Cumplir el 100% de los compromisos del PAAC</t>
  </si>
  <si>
    <t>Porcentaje de compromisos ejecutados</t>
  </si>
  <si>
    <t>(Compromisos ejecutados / Compromisos programados) * 100</t>
  </si>
  <si>
    <t>Informe de seguimiento al cumplimiento del PAAC de control interno y/o matriz de excel seguimiento al PAAC</t>
  </si>
  <si>
    <t>En el periodo se dió cumplimiento a 3 actividades, de las cuales 1 de ellas que estaba programado su cumplimiento en diciembre ya se ejecutó. Así las cosas, de las 5 actividades que tenian como plazo de ejecuciòn al 100% se presentaron 2 como atrasadas en su cumplimiento y corresponden al componente Gestión del Riesgo de Corrupción - Mapa de Riesgos de Corrupción,</t>
  </si>
  <si>
    <t>En el periodo se dió cumplimiento a 9 actividades. De las 5 actividades que tenian como plazo de ejecuciòn al 100% se presentaron 2 como atrasadas en su cumplimiento y corresponden al componente Gestión del Riesgo de Corrupción y al componente  Rendición de cuentas. 
Así mismo,  las dos actividades que estaban atrasadas con corte a abril se ejecutaron y se dió cumplimiento tambien a 4 actividades que estaban programadas para Diciembre, para un total de 9 actividades ejecutadas en el periodo.</t>
  </si>
  <si>
    <t>7590 - DESARROLLO DE ESTRATEGIAS DE INNOVACIÓN SOCIAL Y COMUNICACIÓN PARA EL FORTALECIMIENTO DE LA
PARTICIPACIÓN EN TEMAS HÁBITAT EN BOGOTÁ</t>
  </si>
  <si>
    <t>ELABORAR 1 DOCUMENTO DE PLANEACIÓN QUE CONTENGA ORIENTACIONES TÉCNICAS PARA
INCORPORAR INFORMACIÓN DIFERENCIADA</t>
  </si>
  <si>
    <t>Documento de planeación elaborado</t>
  </si>
  <si>
    <t>0.2145</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</si>
  <si>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</si>
  <si>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</si>
  <si>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t>Subdirección de Participación y relaciones con la comunidad</t>
  </si>
  <si>
    <t>Gestión Territorial del Hábitat</t>
  </si>
  <si>
    <t>Implementar el 100% de las acciones contenidas en el Plan de Estrategia de Participación</t>
  </si>
  <si>
    <t>Porcentaje de acciones ejecutadas</t>
  </si>
  <si>
    <t>(Acciones ejecutadas / Acciones programadas) * 100</t>
  </si>
  <si>
    <t>No se reportó por parte del área técnica actividades realizadas en el marco del "fomento de la cultura de reportar conductas ilegales relacionadas con la enajenación y arrendamiento de vivienda"</t>
  </si>
  <si>
    <t>A la fecha no se reportó por parte del área técnica actividades realizadas en el marco del "fomento de la cultura de reportar conductas ilegales relacionadas con la enajenación y arrendamiento de vivienda". Se evidencia cumplimiento del 100% de las acciones programadas con corte a agosto 31</t>
  </si>
  <si>
    <t>PROYECTO 7602 - 
Análisis de la Gestión Integral del desarrollo de los programas y proyectos de la Secretaría de Hábitat de Bogotá</t>
  </si>
  <si>
    <t xml:space="preserve">CERTIFICAR 1 SISTEMA DE GESTIÓN AMBIENTAL </t>
  </si>
  <si>
    <t>Sistema de Gestión Ambiental Certificado</t>
  </si>
  <si>
    <t>0.155</t>
  </si>
  <si>
    <t>Plan Institucional de Gestión Ambiental</t>
  </si>
  <si>
    <t>Fortalecer en la vigencia 2020-2024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t>
  </si>
  <si>
    <t>Administración del SIG</t>
  </si>
  <si>
    <t>Realizar el 100% de las acciones contenidas en el Plan Institucional de Gestión Ambiental</t>
  </si>
  <si>
    <t xml:space="preserve">Se realizaron el 100% de las actividades programadas para los programas de Uso eficiente de energia, uso eficiente de agua, Gestion Integral de residuosy  compras sostenibles. Con respecto al programa de practicas sostenibles no fue posible cumplir la actividad  Implementar el Plan Integral de Movilidad Sostenible – PIMS de la SDHT, teniendo en cuenta que en este periodo nos encontrabamos en periodo de confinamiento y las acciones propuestas en ese Plan en su mayoria requerian presencialidad.  </t>
  </si>
  <si>
    <t>A 30 de agosto se realizaron el 100% de las actividades programadas para los programas de Uso eficiente de energia, uso eficiente de agua, Gestion Integral de residuosy  compras sostenibles y Practicas sostenibles, incluyendo la actividad "Implementar el Plan Integral de Movilidad Sostenible – PIMS de la SDHT", la cual habia quedado pendiente el periodo anterior</t>
  </si>
  <si>
    <t xml:space="preserve">GESTIONAR EL  100 % DEL PLAN DE ADECUACIÓN Y SOSTENIBILIDAD DEL SIG-MIPG </t>
  </si>
  <si>
    <t>Porcentaje de avance en la gestión para la implementación del Plan de adecuación y sostenibilidad del SIG - MIPG</t>
  </si>
  <si>
    <t>Plan de Ajuste y Sostenibilidad MIPG</t>
  </si>
  <si>
    <t>Gestionar la implementación de acciones puntuales que sean realizables en la vigencia, con el fin de cerrar las brechas identificadas en varias fuentes, como el Formulario Único de Registro y Avance a la Gestión FURAG, informes del Sistema de Control Interno, entre otros, que evalúan la implementación de los estándares descritos en el Manual Operativo del MIPG, Guías de ajuste del Sistema Integrado de Gestión Distrital tomo I y II, en pro de cumplir la meta “Gestionar el 100% del plan de adecuación y sostenibilidad SIG-MIPG”.</t>
  </si>
  <si>
    <t>Gestionar el 100% del plan de adecuación y sostenibilidad del SIG - MIPG</t>
  </si>
  <si>
    <t>(Número de actividades gestionadas del Plan de Adecuación y Sostenibilidad del SIG - MIPG / Número de actividades programadas del Plan de Adecuación y Sostenibilidad del SIG - MIPG) *100</t>
  </si>
  <si>
    <t>La SDPP, por medio del memorando 3-2021-00032, solicitó a los líderes de Política la formulación del Plan de Acción 2021, del cual trata el Decreto 612 de 2018 y la Guía de ajuste del Sistema de Gestión Distrital Tomo II.
Los líderes de cada política formularon un conjunto de acciones para gestionar durante la presente vigencia, que respondan a la implementación y fortalecimiento del referente MIPG enmarcada en las diferentes dimensiones, definido como el Plan de adecuación y sostenibilidad del SIG-MIPG.
En el marco de primer Comité Institucional de Gestión y Desempeño 2021, fue aprobada la versión 1 del Plan de Adec y Sost del SG-MIPG, la cual consta de 33 actividades, para desarrollar dentro de la vigencia. Teniendo en cuenta que hay acciones que se repiten en los siguientes trimestres, se determina un indicador de 53 acciones.
Para este trimestre se gestionaron las 7 actividades planeadas para el periodo, con un avance del indicador del 13%.</t>
  </si>
  <si>
    <t xml:space="preserve">El plan de Adecuación y Sostenibilidad del SG-MIPG V1, está compuesto por un total del 53 actividades para desarrollar en la vigencia 2021, en este corte se reportaron las actividades: 1, 2, 3, 7, 8, 9, 20, 22, 25, 25, 27, 29, 30, 31 y 33., que representan un avance del 41%.
No se presentó cumplimiento en las actividades 5, 13 y 16, las cuales ya para el siguiente corte se dará cumplimiento. La justificación es la siguiente:
Act 5 y 16: Las actividades establecidas en este plan no se conocian por parte del responsable de integridad de la subdirecciòn Administrativa, sin embrago se realizara gestiòn para su cumplimiento.
Act 13: Se presenta retraso en el perfecionamiento y ajustes de procedimientos para ser llevados a comité, esto debido a retrasos en la contratacion  del personal idoneo, Una vez resuleto el tema de contratacion , el profesional se encuentra realizando ajustes para realizar cambios en procedimientos y ser llevados a comité en el ultimo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</si>
</sst>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Times New Roman"/>
      <family val="1"/>
    </font>
    <font>
      <b/>
      <sz val="20"/>
      <color theme="1"/>
      <name val="Calibri"/>
      <family val="2"/>
      <scheme val="minor"/>
    </font>
    <font>
      <b/>
      <sz val="28"/>
      <color theme="1"/>
      <name val="Calibri"/>
      <family val="2"/>
      <scheme val="minor"/>
    </font>
    <font>
      <b/>
      <sz val="11"/>
      <color theme="1"/>
      <name val="Times New Roman"/>
      <family val="1"/>
    </font>
    <font>
      <b/>
      <sz val="12"/>
      <color theme="1"/>
      <name val="Times New Roman"/>
      <family val="1"/>
    </font>
    <font>
      <b/>
      <sz val="18"/>
      <color theme="9" tint="-0.249977111117893"/>
      <name val="Calibri"/>
      <family val="2"/>
      <scheme val="minor"/>
    </font>
    <font>
      <b/>
      <sz val="11"/>
      <color theme="9" tint="-0.249977111117893"/>
      <name val="Calibri"/>
      <family val="2"/>
      <scheme val="minor"/>
    </font>
    <font>
      <b/>
      <sz val="18"/>
      <color rgb="FFFF0000"/>
      <name val="Calibri"/>
      <family val="2"/>
      <scheme val="minor"/>
    </font>
    <font>
      <b/>
      <sz val="11"/>
      <color rgb="FFFF0000"/>
      <name val="Calibri"/>
      <family val="2"/>
      <scheme val="minor"/>
    </font>
    <font>
      <b/>
      <sz val="10"/>
      <color theme="1"/>
      <name val="Calibri "/>
    </font>
    <font>
      <sz val="11"/>
      <name val="Calibri"/>
      <family val="2"/>
      <scheme val="minor"/>
    </font>
    <font>
      <b/>
      <sz val="16"/>
      <name val="Calibri"/>
      <family val="2"/>
      <scheme val="minor"/>
    </font>
    <font>
      <sz val="10"/>
      <name val="Calibri"/>
      <family val="2"/>
      <scheme val="minor"/>
    </font>
    <font>
      <b/>
      <sz val="16"/>
      <color theme="1"/>
      <name val="Calibri"/>
      <family val="2"/>
      <scheme val="minor"/>
    </font>
    <font>
      <sz val="10"/>
      <color theme="1"/>
      <name val="Calibri"/>
      <family val="2"/>
      <scheme val="minor"/>
    </font>
    <font>
      <sz val="11"/>
      <color rgb="FF000000"/>
      <name val="Calibri"/>
      <family val="2"/>
      <scheme val="minor"/>
    </font>
    <font>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00CC00"/>
        <bgColor indexed="64"/>
      </patternFill>
    </fill>
    <fill>
      <patternFill patternType="solid">
        <fgColor rgb="FFFFFF00"/>
        <bgColor indexed="64"/>
      </patternFill>
    </fill>
    <fill>
      <patternFill patternType="solid">
        <fgColor rgb="FFFA8006"/>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
      <left style="thick">
        <color indexed="64"/>
      </left>
      <right style="thick">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0" fontId="0" fillId="0" borderId="0" xfId="0"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center"/>
    </xf>
    <xf numFmtId="0" fontId="0" fillId="0" borderId="2" xfId="0"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Alignment="1">
      <alignment vertical="center"/>
    </xf>
    <xf numFmtId="0" fontId="5" fillId="0" borderId="9" xfId="0" applyFont="1" applyBorder="1" applyAlignment="1">
      <alignment horizontal="center" vertical="center"/>
    </xf>
    <xf numFmtId="0" fontId="0" fillId="0" borderId="0" xfId="0" applyBorder="1" applyAlignment="1">
      <alignment horizont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9" fontId="10" fillId="0" borderId="13" xfId="0" applyNumberFormat="1" applyFont="1" applyBorder="1" applyAlignment="1">
      <alignment horizontal="center" vertical="center" wrapText="1"/>
    </xf>
    <xf numFmtId="9" fontId="10" fillId="0" borderId="14"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8" fillId="3" borderId="0" xfId="0" applyFont="1" applyFill="1" applyAlignment="1">
      <alignment horizontal="center" vertical="center" wrapText="1"/>
    </xf>
    <xf numFmtId="0" fontId="8" fillId="4"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5" fillId="0" borderId="16" xfId="0" applyFont="1" applyBorder="1" applyAlignment="1">
      <alignment horizontal="center" vertical="center"/>
    </xf>
    <xf numFmtId="0" fontId="0" fillId="0" borderId="17" xfId="0" applyBorder="1" applyAlignment="1">
      <alignment horizont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9" fontId="12" fillId="0" borderId="21"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10" fontId="12" fillId="0" borderId="23" xfId="0" applyNumberFormat="1" applyFont="1" applyBorder="1" applyAlignment="1">
      <alignment horizontal="center" vertical="center" wrapText="1"/>
    </xf>
    <xf numFmtId="0" fontId="0" fillId="0" borderId="0" xfId="0" applyAlignment="1">
      <alignment horizontal="center"/>
    </xf>
    <xf numFmtId="0" fontId="7" fillId="0" borderId="1"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13" fillId="7" borderId="26" xfId="0" applyFont="1" applyFill="1" applyBorder="1" applyAlignment="1" applyProtection="1">
      <alignment horizontal="center" vertical="center" wrapText="1"/>
    </xf>
    <xf numFmtId="0" fontId="13" fillId="8" borderId="26" xfId="0" applyFont="1" applyFill="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7" fillId="9" borderId="29"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6"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3" fillId="8" borderId="35" xfId="0" applyFont="1" applyFill="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4" fillId="0" borderId="0" xfId="0" applyFont="1" applyFill="1"/>
    <xf numFmtId="0" fontId="14" fillId="0" borderId="41" xfId="0" applyFont="1" applyFill="1" applyBorder="1" applyProtection="1"/>
    <xf numFmtId="0" fontId="15" fillId="0" borderId="42"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9" fontId="0" fillId="7" borderId="43" xfId="0" applyNumberFormat="1" applyFill="1" applyBorder="1" applyAlignment="1" applyProtection="1">
      <alignment horizontal="center" vertical="center" wrapText="1"/>
    </xf>
    <xf numFmtId="9" fontId="14" fillId="0" borderId="43" xfId="0" applyNumberFormat="1" applyFont="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9" fontId="14" fillId="0" borderId="14" xfId="0" applyNumberFormat="1" applyFont="1" applyFill="1" applyBorder="1" applyAlignment="1" applyProtection="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9" fontId="14" fillId="0" borderId="43" xfId="0" applyNumberFormat="1" applyFont="1" applyFill="1" applyBorder="1" applyAlignment="1" applyProtection="1">
      <alignment horizontal="center" vertical="center" wrapText="1"/>
      <protection locked="0"/>
    </xf>
    <xf numFmtId="0" fontId="14" fillId="0" borderId="46" xfId="0" applyNumberFormat="1" applyFont="1" applyFill="1" applyBorder="1" applyAlignment="1" applyProtection="1">
      <alignment horizontal="center" vertical="center" wrapText="1"/>
      <protection locked="0"/>
    </xf>
    <xf numFmtId="9" fontId="14" fillId="0" borderId="47" xfId="0" applyNumberFormat="1" applyFont="1" applyFill="1" applyBorder="1" applyAlignment="1" applyProtection="1">
      <alignment horizontal="center" vertical="center" wrapText="1"/>
    </xf>
    <xf numFmtId="10" fontId="14" fillId="0" borderId="42" xfId="0" applyNumberFormat="1" applyFont="1" applyFill="1" applyBorder="1" applyAlignment="1">
      <alignment horizontal="center" vertical="center" wrapText="1"/>
    </xf>
    <xf numFmtId="10" fontId="14" fillId="0" borderId="43" xfId="0" applyNumberFormat="1" applyFont="1" applyFill="1" applyBorder="1" applyAlignment="1">
      <alignment horizontal="center" vertical="center" wrapText="1"/>
    </xf>
    <xf numFmtId="10" fontId="14" fillId="0" borderId="48" xfId="0" applyNumberFormat="1" applyFont="1" applyFill="1" applyBorder="1" applyAlignment="1">
      <alignment horizontal="center" vertical="center" wrapText="1"/>
    </xf>
    <xf numFmtId="0" fontId="14" fillId="0" borderId="0" xfId="0" applyFont="1" applyFill="1" applyAlignment="1">
      <alignment vertical="center" wrapText="1"/>
    </xf>
    <xf numFmtId="0" fontId="0" fillId="0" borderId="0" xfId="0" applyFill="1"/>
    <xf numFmtId="0" fontId="0" fillId="0" borderId="41" xfId="0" applyFill="1" applyBorder="1" applyProtection="1"/>
    <xf numFmtId="0" fontId="17" fillId="0" borderId="42"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9" fontId="0" fillId="0" borderId="49" xfId="0" applyNumberFormat="1" applyFill="1" applyBorder="1" applyAlignment="1" applyProtection="1">
      <alignment horizontal="center" vertical="center" wrapText="1"/>
      <protection locked="0"/>
    </xf>
    <xf numFmtId="9" fontId="0" fillId="0" borderId="50" xfId="0" applyNumberFormat="1" applyFill="1" applyBorder="1" applyAlignment="1" applyProtection="1">
      <alignment horizontal="center" vertical="center" wrapText="1"/>
      <protection locked="0"/>
    </xf>
    <xf numFmtId="9" fontId="0" fillId="0" borderId="14" xfId="0" applyNumberFormat="1" applyBorder="1" applyAlignment="1" applyProtection="1">
      <alignment horizontal="center" vertical="center" wrapText="1"/>
    </xf>
    <xf numFmtId="9" fontId="0" fillId="0" borderId="43" xfId="0" applyNumberFormat="1" applyBorder="1" applyAlignment="1" applyProtection="1">
      <alignment horizontal="center" vertical="center" wrapText="1"/>
      <protection locked="0"/>
    </xf>
    <xf numFmtId="9" fontId="0" fillId="0" borderId="46" xfId="0" applyNumberFormat="1" applyBorder="1" applyAlignment="1" applyProtection="1">
      <alignment horizontal="center" vertical="center" wrapText="1"/>
      <protection locked="0"/>
    </xf>
    <xf numFmtId="9" fontId="0" fillId="0" borderId="47" xfId="0" applyNumberFormat="1" applyBorder="1" applyAlignment="1" applyProtection="1">
      <alignment horizontal="center" vertical="center" wrapText="1"/>
    </xf>
    <xf numFmtId="10" fontId="0" fillId="0" borderId="42" xfId="0" applyNumberFormat="1" applyBorder="1" applyAlignment="1">
      <alignment horizontal="center" vertical="center" wrapText="1"/>
    </xf>
    <xf numFmtId="10" fontId="0" fillId="0" borderId="43" xfId="0" applyNumberFormat="1" applyBorder="1" applyAlignment="1">
      <alignment horizontal="center" vertical="center" wrapText="1"/>
    </xf>
    <xf numFmtId="10" fontId="0" fillId="0" borderId="48" xfId="0" applyNumberFormat="1" applyBorder="1" applyAlignment="1">
      <alignment horizontal="center" vertical="center" wrapText="1"/>
    </xf>
    <xf numFmtId="0" fontId="0" fillId="0" borderId="0" xfId="0" applyAlignment="1">
      <alignment vertical="center" wrapText="1"/>
    </xf>
    <xf numFmtId="0" fontId="0" fillId="10" borderId="51" xfId="0" applyFill="1" applyBorder="1" applyAlignment="1" applyProtection="1">
      <alignment horizontal="center"/>
    </xf>
    <xf numFmtId="0" fontId="0" fillId="10" borderId="1" xfId="0" applyFill="1" applyBorder="1" applyAlignment="1" applyProtection="1">
      <alignment horizontal="center"/>
    </xf>
    <xf numFmtId="9" fontId="0" fillId="0" borderId="43" xfId="1" applyFont="1" applyFill="1" applyBorder="1" applyAlignment="1" applyProtection="1">
      <alignment horizontal="center" vertical="center" wrapText="1"/>
      <protection locked="0"/>
    </xf>
    <xf numFmtId="9" fontId="2" fillId="0" borderId="49" xfId="0" applyNumberFormat="1" applyFont="1" applyFill="1" applyBorder="1" applyAlignment="1" applyProtection="1">
      <alignment horizontal="center" vertical="center" wrapText="1"/>
      <protection locked="0"/>
    </xf>
    <xf numFmtId="9" fontId="2" fillId="0" borderId="50" xfId="0" applyNumberFormat="1" applyFont="1" applyFill="1" applyBorder="1" applyAlignment="1" applyProtection="1">
      <alignment horizontal="center" vertical="center" wrapText="1"/>
      <protection locked="0"/>
    </xf>
    <xf numFmtId="9" fontId="14" fillId="0" borderId="49" xfId="0" applyNumberFormat="1" applyFont="1" applyFill="1" applyBorder="1" applyAlignment="1" applyProtection="1">
      <alignment horizontal="center" vertical="center" wrapText="1"/>
      <protection locked="0"/>
    </xf>
    <xf numFmtId="9" fontId="14" fillId="0" borderId="43" xfId="0" applyNumberFormat="1" applyFont="1" applyBorder="1" applyAlignment="1" applyProtection="1">
      <alignment horizontal="center" vertical="center" wrapText="1"/>
      <protection locked="0"/>
    </xf>
    <xf numFmtId="9" fontId="14" fillId="0" borderId="46" xfId="0" applyNumberFormat="1" applyFont="1" applyBorder="1" applyAlignment="1" applyProtection="1">
      <alignment horizontal="center" vertical="center" wrapText="1"/>
      <protection locked="0"/>
    </xf>
    <xf numFmtId="0" fontId="0" fillId="10" borderId="1" xfId="0" applyFill="1" applyBorder="1" applyAlignment="1" applyProtection="1">
      <alignment horizontal="center" vertical="center" wrapText="1"/>
    </xf>
    <xf numFmtId="0" fontId="0" fillId="10" borderId="1" xfId="0" applyFill="1" applyBorder="1" applyAlignment="1" applyProtection="1">
      <alignment horizontal="center" vertical="center"/>
    </xf>
    <xf numFmtId="9" fontId="0" fillId="0" borderId="49" xfId="0" applyNumberFormat="1" applyBorder="1" applyAlignment="1" applyProtection="1">
      <alignment horizontal="center" vertical="center" wrapText="1"/>
      <protection locked="0"/>
    </xf>
    <xf numFmtId="9" fontId="0" fillId="0" borderId="50" xfId="0" applyNumberFormat="1" applyBorder="1" applyAlignment="1" applyProtection="1">
      <alignment horizontal="center" vertical="center" wrapText="1"/>
      <protection locked="0"/>
    </xf>
    <xf numFmtId="0" fontId="0" fillId="10" borderId="51" xfId="0" applyFill="1" applyBorder="1" applyAlignment="1" applyProtection="1">
      <alignment horizontal="center" vertical="center" wrapText="1"/>
    </xf>
    <xf numFmtId="9" fontId="0" fillId="10" borderId="1" xfId="0" applyNumberFormat="1" applyFill="1" applyBorder="1" applyAlignment="1" applyProtection="1">
      <alignment horizontal="center" vertical="center"/>
    </xf>
    <xf numFmtId="0" fontId="17" fillId="0" borderId="42" xfId="0" applyFont="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0" fillId="0" borderId="43" xfId="0" applyBorder="1" applyAlignment="1" applyProtection="1">
      <alignment horizontal="center" vertical="center" wrapText="1"/>
    </xf>
    <xf numFmtId="9" fontId="0" fillId="0" borderId="43" xfId="0" applyNumberFormat="1" applyBorder="1" applyAlignment="1" applyProtection="1">
      <alignment horizontal="center" vertical="center" wrapText="1"/>
    </xf>
    <xf numFmtId="9" fontId="0" fillId="11" borderId="49" xfId="0" applyNumberFormat="1" applyFill="1" applyBorder="1" applyAlignment="1" applyProtection="1">
      <alignment horizontal="center" vertical="center" wrapText="1"/>
      <protection locked="0"/>
    </xf>
    <xf numFmtId="9" fontId="0" fillId="11" borderId="50" xfId="0" applyNumberFormat="1" applyFill="1" applyBorder="1" applyAlignment="1" applyProtection="1">
      <alignment horizontal="center" vertical="center" wrapText="1"/>
      <protection locked="0"/>
    </xf>
    <xf numFmtId="0" fontId="0" fillId="10" borderId="41" xfId="0" applyFill="1" applyBorder="1" applyProtection="1"/>
    <xf numFmtId="9" fontId="0" fillId="0" borderId="43" xfId="0" applyNumberFormat="1" applyFill="1" applyBorder="1" applyAlignment="1" applyProtection="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8" fillId="0" borderId="43" xfId="0" applyFont="1" applyBorder="1" applyAlignment="1" applyProtection="1">
      <alignment vertical="center" wrapText="1"/>
    </xf>
    <xf numFmtId="9" fontId="0" fillId="0" borderId="43" xfId="0" applyNumberFormat="1" applyFont="1" applyBorder="1" applyAlignment="1" applyProtection="1">
      <alignment horizontal="center" vertical="center" wrapText="1"/>
      <protection locked="0"/>
    </xf>
    <xf numFmtId="9" fontId="14" fillId="7" borderId="43"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9" fontId="14" fillId="0" borderId="49" xfId="0" applyNumberFormat="1" applyFont="1" applyBorder="1" applyAlignment="1" applyProtection="1">
      <alignment horizontal="center" vertical="center" wrapText="1"/>
      <protection locked="0"/>
    </xf>
    <xf numFmtId="9" fontId="14" fillId="0" borderId="50" xfId="0" applyNumberFormat="1" applyFont="1" applyBorder="1" applyAlignment="1" applyProtection="1">
      <alignment horizontal="center" vertical="center" wrapText="1"/>
      <protection locked="0"/>
    </xf>
    <xf numFmtId="9" fontId="14" fillId="0" borderId="50" xfId="0" applyNumberFormat="1" applyFont="1" applyFill="1" applyBorder="1" applyAlignment="1" applyProtection="1">
      <alignment horizontal="center" vertical="center" wrapText="1"/>
      <protection locked="0"/>
    </xf>
    <xf numFmtId="0" fontId="0" fillId="10" borderId="52" xfId="0" applyFill="1" applyBorder="1" applyAlignment="1" applyProtection="1">
      <alignment horizontal="center" vertical="center" wrapText="1"/>
    </xf>
    <xf numFmtId="0" fontId="0" fillId="10" borderId="53" xfId="0" applyFill="1" applyBorder="1" applyAlignment="1" applyProtection="1">
      <alignment horizontal="center" vertical="center"/>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center" vertical="center"/>
    </xf>
    <xf numFmtId="9" fontId="0" fillId="10" borderId="1" xfId="0" applyNumberFormat="1" applyFill="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8" fillId="0" borderId="55" xfId="0" applyFont="1" applyBorder="1" applyAlignment="1" applyProtection="1">
      <alignment horizontal="center" vertical="center" wrapText="1"/>
    </xf>
    <xf numFmtId="9" fontId="0" fillId="7" borderId="55" xfId="1" applyFont="1" applyFill="1" applyBorder="1" applyAlignment="1" applyProtection="1">
      <alignment horizontal="center" vertical="center" wrapText="1"/>
    </xf>
    <xf numFmtId="9" fontId="0" fillId="0" borderId="55" xfId="0" applyNumberFormat="1" applyBorder="1" applyAlignment="1" applyProtection="1">
      <alignment horizontal="center" vertical="center" wrapText="1"/>
      <protection locked="0"/>
    </xf>
    <xf numFmtId="9" fontId="0" fillId="0" borderId="56" xfId="0" applyNumberFormat="1" applyBorder="1" applyAlignment="1" applyProtection="1">
      <alignment horizontal="center" vertical="center" wrapText="1"/>
      <protection locked="0"/>
    </xf>
    <xf numFmtId="9" fontId="0" fillId="0" borderId="57" xfId="0" applyNumberFormat="1" applyBorder="1" applyAlignment="1" applyProtection="1">
      <alignment horizontal="center" vertical="center" wrapText="1"/>
      <protection locked="0"/>
    </xf>
    <xf numFmtId="9" fontId="0" fillId="7" borderId="55" xfId="0" applyNumberFormat="1" applyFill="1" applyBorder="1" applyAlignment="1" applyProtection="1">
      <alignment horizontal="center" vertical="center" wrapText="1"/>
    </xf>
    <xf numFmtId="9" fontId="14" fillId="7" borderId="55" xfId="0" applyNumberFormat="1" applyFont="1" applyFill="1" applyBorder="1" applyAlignment="1" applyProtection="1">
      <alignment horizontal="center" vertical="center" wrapText="1"/>
    </xf>
    <xf numFmtId="9" fontId="14" fillId="0" borderId="55" xfId="0" applyNumberFormat="1" applyFont="1" applyBorder="1" applyAlignment="1" applyProtection="1">
      <alignment horizontal="center" vertical="center" wrapText="1"/>
      <protection locked="0"/>
    </xf>
    <xf numFmtId="9" fontId="14" fillId="0" borderId="58" xfId="0" applyNumberFormat="1" applyFont="1" applyBorder="1" applyAlignment="1" applyProtection="1">
      <alignment horizontal="center" vertical="center" wrapText="1"/>
      <protection locked="0"/>
    </xf>
    <xf numFmtId="0" fontId="7" fillId="9" borderId="59" xfId="0" applyFont="1" applyFill="1" applyBorder="1" applyAlignment="1">
      <alignment horizontal="center" vertical="center" wrapText="1"/>
    </xf>
    <xf numFmtId="0" fontId="0" fillId="0" borderId="0" xfId="0" applyAlignment="1">
      <alignment horizontal="center" vertical="center" wrapText="1"/>
    </xf>
    <xf numFmtId="2" fontId="0" fillId="0" borderId="0" xfId="0" applyNumberFormat="1"/>
    <xf numFmtId="0" fontId="0" fillId="12" borderId="0" xfId="0" applyFill="1" applyAlignment="1">
      <alignment vertical="center"/>
    </xf>
  </cellXfs>
  <cellStyles count="2">
    <cellStyle name="Normal" xfId="0" builtinId="0"/>
    <cellStyle name="Porcentaje" xfId="1" builtinId="5"/>
  </cellStyles>
  <dxfs count="19">
    <dxf>
      <fill>
        <patternFill patternType="solid">
          <bgColor rgb="FFFF8001"/>
        </patternFill>
      </fill>
    </dxf>
    <dxf>
      <fill>
        <patternFill>
          <bgColor rgb="FF33CC33"/>
        </patternFill>
      </fill>
    </dxf>
    <dxf>
      <fill>
        <patternFill>
          <bgColor rgb="FFFFFF33"/>
        </patternFill>
      </fill>
    </dxf>
    <dxf>
      <fill>
        <patternFill>
          <bgColor rgb="FFFF0000"/>
        </patternFill>
      </fill>
    </dxf>
    <dxf>
      <fill>
        <patternFill patternType="solid">
          <bgColor rgb="FFFF8001"/>
        </patternFill>
      </fill>
    </dxf>
    <dxf>
      <fill>
        <patternFill>
          <bgColor rgb="FF33CC33"/>
        </patternFill>
      </fill>
    </dxf>
    <dxf>
      <fill>
        <patternFill>
          <bgColor rgb="FFFFFF33"/>
        </patternFill>
      </fill>
    </dxf>
    <dxf>
      <fill>
        <patternFill>
          <bgColor rgb="FFFF0000"/>
        </patternFill>
      </fill>
    </dxf>
    <dxf>
      <fill>
        <patternFill patternType="solid">
          <bgColor rgb="FFFF8001"/>
        </patternFill>
      </fill>
    </dxf>
    <dxf>
      <fill>
        <patternFill>
          <bgColor rgb="FF33CC33"/>
        </patternFill>
      </fill>
    </dxf>
    <dxf>
      <fill>
        <patternFill>
          <bgColor rgb="FFFFFF33"/>
        </patternFill>
      </fill>
    </dxf>
    <dxf>
      <fill>
        <patternFill>
          <bgColor rgb="FFFF0000"/>
        </patternFill>
      </fill>
    </dxf>
    <dxf>
      <fill>
        <patternFill>
          <bgColor rgb="FF33CC33"/>
        </patternFill>
      </fill>
    </dxf>
    <dxf>
      <fill>
        <patternFill>
          <bgColor rgb="FFFFFF33"/>
        </patternFill>
      </fill>
    </dxf>
    <dxf>
      <fill>
        <patternFill>
          <bgColor rgb="FFFF0000"/>
        </patternFill>
      </fill>
    </dxf>
    <dxf>
      <fill>
        <patternFill patternType="solid">
          <bgColor rgb="FFFF8001"/>
        </patternFill>
      </fill>
    </dxf>
    <dxf>
      <fill>
        <patternFill>
          <bgColor rgb="FF33CC33"/>
        </patternFill>
      </fill>
    </dxf>
    <dxf>
      <fill>
        <patternFill>
          <bgColor rgb="FFFFFF33"/>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95816</xdr:colOff>
      <xdr:row>1</xdr:row>
      <xdr:rowOff>140608</xdr:rowOff>
    </xdr:from>
    <xdr:to>
      <xdr:col>5</xdr:col>
      <xdr:colOff>1794441</xdr:colOff>
      <xdr:row>4</xdr:row>
      <xdr:rowOff>83604</xdr:rowOff>
    </xdr:to>
    <xdr:pic>
      <xdr:nvPicPr>
        <xdr:cNvPr id="2"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791" y="302533"/>
          <a:ext cx="1698625" cy="16193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11\Proyectos\SDPP\SIG\A&#241;o%202019\Plan%20de%20Acci&#243;n%20MIPG%20-%20SIG\Plan%20acci&#243;n%201102%20-%20Gestionar%20el%20100%25%20del%20P.A.%20A%20y%20S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server\sig\Users\ysotoc\Downloads\Hoja%20de%20vida%20indicadores\1153_V2_Octubre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proyecto "/>
      <sheetName val="Indicadores - Actividades"/>
      <sheetName val="Justificación ponderación "/>
      <sheetName val="Poblacion"/>
      <sheetName val="Hoja de vida indicadores  "/>
      <sheetName val="Plan de Adecuación "/>
      <sheetName val="Hoja3"/>
    </sheetNames>
    <sheetDataSet>
      <sheetData sheetId="0"/>
      <sheetData sheetId="1"/>
      <sheetData sheetId="2"/>
      <sheetData sheetId="3"/>
      <sheetData sheetId="4"/>
      <sheetData sheetId="5"/>
      <sheetData sheetId="6">
        <row r="5">
          <cell r="A5" t="str">
            <v>Suma</v>
          </cell>
          <cell r="C5" t="str">
            <v>No desagregada</v>
          </cell>
          <cell r="E5" t="str">
            <v>Usaquen</v>
          </cell>
          <cell r="M5" t="str">
            <v>Subdirección de información sectorial</v>
          </cell>
        </row>
        <row r="6">
          <cell r="A6" t="str">
            <v>Creciente</v>
          </cell>
          <cell r="C6" t="str">
            <v>Desagregada</v>
          </cell>
          <cell r="E6" t="str">
            <v>Chapinero</v>
          </cell>
          <cell r="M6" t="str">
            <v>Subdirección de gestión de suelo</v>
          </cell>
        </row>
        <row r="7">
          <cell r="A7" t="str">
            <v>Constante</v>
          </cell>
          <cell r="E7" t="str">
            <v>Santafe</v>
          </cell>
          <cell r="M7" t="str">
            <v>Subdirección de programas y proyectos</v>
          </cell>
        </row>
        <row r="8">
          <cell r="E8" t="str">
            <v>San Cristóbal</v>
          </cell>
          <cell r="M8" t="str">
            <v>Subdirección de servicios públicos</v>
          </cell>
        </row>
        <row r="9">
          <cell r="E9" t="str">
            <v>Usme</v>
          </cell>
          <cell r="M9" t="str">
            <v>Subdirección de recursos públicos</v>
          </cell>
        </row>
        <row r="10">
          <cell r="E10" t="str">
            <v>Tunjuelito</v>
          </cell>
          <cell r="M10" t="str">
            <v>Subdirección de recursos privados</v>
          </cell>
        </row>
        <row r="11">
          <cell r="E11" t="str">
            <v>Bosa</v>
          </cell>
          <cell r="M11" t="str">
            <v>Subdirección de apoyo a la construcción</v>
          </cell>
        </row>
        <row r="12">
          <cell r="E12" t="str">
            <v>Kennedy</v>
          </cell>
          <cell r="M12" t="str">
            <v>Subdirección de barrios</v>
          </cell>
        </row>
        <row r="13">
          <cell r="E13" t="str">
            <v>Fontibón</v>
          </cell>
          <cell r="M13" t="str">
            <v>Subdirección de operaciones</v>
          </cell>
        </row>
        <row r="14">
          <cell r="E14" t="str">
            <v>Engativá</v>
          </cell>
          <cell r="M14" t="str">
            <v>Subdirección de participación y relaciones con la comunidad</v>
          </cell>
        </row>
        <row r="15">
          <cell r="E15" t="str">
            <v>Suba</v>
          </cell>
          <cell r="M15" t="str">
            <v>Subdirección de prevención y seguimiento</v>
          </cell>
        </row>
        <row r="16">
          <cell r="E16" t="str">
            <v>Barrios Unidos</v>
          </cell>
          <cell r="M16" t="str">
            <v>Subdirección de investigaciones y control de vivienda</v>
          </cell>
        </row>
        <row r="17">
          <cell r="E17" t="str">
            <v>Teusaquillo</v>
          </cell>
          <cell r="M17" t="str">
            <v>Subdirección administrativa</v>
          </cell>
        </row>
        <row r="18">
          <cell r="E18" t="str">
            <v>Mártires</v>
          </cell>
          <cell r="M18" t="str">
            <v>Subdircción financiera</v>
          </cell>
        </row>
        <row r="19">
          <cell r="E19" t="str">
            <v>Antonio Nariño</v>
          </cell>
        </row>
        <row r="20">
          <cell r="E20" t="str">
            <v>Puente Aranda</v>
          </cell>
        </row>
        <row r="21">
          <cell r="E21" t="str">
            <v>Candelaria</v>
          </cell>
        </row>
        <row r="22">
          <cell r="E22" t="str">
            <v>Rafael Uribe Uribe</v>
          </cell>
        </row>
        <row r="23">
          <cell r="E23" t="str">
            <v>Ciudad Bolívar</v>
          </cell>
        </row>
        <row r="24">
          <cell r="E24" t="str">
            <v>Sumapaz</v>
          </cell>
        </row>
        <row r="40">
          <cell r="I40" t="str">
            <v>0 - 5 años</v>
          </cell>
          <cell r="L40" t="str">
            <v>Afrodescendiente</v>
          </cell>
          <cell r="M40" t="str">
            <v>Hombre</v>
          </cell>
          <cell r="N40" t="str">
            <v>Mujeres</v>
          </cell>
        </row>
        <row r="41">
          <cell r="I41" t="str">
            <v>6 - 12 años</v>
          </cell>
          <cell r="L41" t="str">
            <v>Indígenas</v>
          </cell>
          <cell r="M41" t="str">
            <v>Mujer</v>
          </cell>
          <cell r="N41" t="str">
            <v>Jóvenes</v>
          </cell>
        </row>
        <row r="42">
          <cell r="I42" t="str">
            <v>13 - 17 años</v>
          </cell>
          <cell r="L42" t="str">
            <v>Raizales</v>
          </cell>
          <cell r="N42" t="str">
            <v>En condición de discapacidad</v>
          </cell>
        </row>
        <row r="43">
          <cell r="I43" t="str">
            <v>18 - 26 años</v>
          </cell>
          <cell r="L43" t="str">
            <v>Rom</v>
          </cell>
          <cell r="N43" t="str">
            <v>LGBTI</v>
          </cell>
        </row>
        <row r="44">
          <cell r="I44" t="str">
            <v>27 - 59 años</v>
          </cell>
          <cell r="N44" t="str">
            <v>Habitante de calle</v>
          </cell>
        </row>
        <row r="45">
          <cell r="I45" t="str">
            <v>60 en adelante</v>
          </cell>
          <cell r="N45" t="str">
            <v>Adulto mayor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
      <sheetName val="Hoja3"/>
      <sheetName val="Implementacion"/>
      <sheetName val="Legalizacion "/>
      <sheetName val="Regularizacion"/>
    </sheetNames>
    <sheetDataSet>
      <sheetData sheetId="0" refreshError="1"/>
      <sheetData sheetId="1">
        <row r="5">
          <cell r="G5" t="str">
            <v>Eficacia</v>
          </cell>
          <cell r="O5" t="str">
            <v>Subsecretaría de Planeación y Política</v>
          </cell>
        </row>
        <row r="6">
          <cell r="G6" t="str">
            <v>Eficiencia</v>
          </cell>
          <cell r="O6" t="str">
            <v>Subsecretaría de gestión financiera</v>
          </cell>
        </row>
        <row r="7">
          <cell r="G7" t="str">
            <v>Efectividad</v>
          </cell>
          <cell r="O7" t="str">
            <v>Subsecretaría de coordinación operativa</v>
          </cell>
        </row>
        <row r="8">
          <cell r="G8" t="str">
            <v>Resultado</v>
          </cell>
          <cell r="O8" t="str">
            <v>Subsecretaría de inspección, vigilancia y control de vivienda</v>
          </cell>
        </row>
        <row r="9">
          <cell r="G9" t="str">
            <v>Producto</v>
          </cell>
          <cell r="O9" t="str">
            <v>Subsecretaría jurídica</v>
          </cell>
        </row>
        <row r="10">
          <cell r="G10" t="str">
            <v>Otro</v>
          </cell>
          <cell r="O10" t="str">
            <v>Dirección de gestión corporativa y control interno</v>
          </cell>
        </row>
        <row r="32">
          <cell r="I32" t="str">
            <v>Contribuir al acceso a una vivienda adecuada y asequible para los hogares de Bogotá</v>
          </cell>
        </row>
        <row r="33">
          <cell r="I33" t="str">
            <v xml:space="preserve">Contribuir al mejoramiento del entorno </v>
          </cell>
        </row>
        <row r="34">
          <cell r="I34" t="str">
            <v>Controlar la enajenación y arrendamiento de vivienda, la urbanización y construcción del hábitat en el Distrito Capital</v>
          </cell>
        </row>
        <row r="35">
          <cell r="I35" t="str">
            <v>Fortalecer la gestión transparente de la acción pública al servicio de la comunidad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70" zoomScaleNormal="40" zoomScaleSheetLayoutView="70" workbookViewId="0">
      <pane xSplit="6" ySplit="7" topLeftCell="V8" activePane="bottomRight" state="frozen"/>
      <selection pane="topRight" activeCell="G1" sqref="G1"/>
      <selection pane="bottomLeft" activeCell="A8" sqref="A8"/>
      <selection pane="bottomRight" activeCell="O21" sqref="O21"/>
    </sheetView>
  </sheetViews>
  <sheetFormatPr baseColWidth="10" defaultRowHeight="15" x14ac:dyDescent="0.25"/>
  <cols>
    <col min="1" max="1" width="2.7109375" customWidth="1"/>
    <col min="2" max="2" width="30" hidden="1" customWidth="1"/>
    <col min="3" max="3" width="34.5703125" hidden="1" customWidth="1"/>
    <col min="4" max="5" width="30" hidden="1" customWidth="1"/>
    <col min="6" max="6" width="27.28515625" customWidth="1"/>
    <col min="7" max="7" width="38.28515625" style="1" hidden="1" customWidth="1"/>
    <col min="8" max="8" width="25.42578125" customWidth="1"/>
    <col min="9" max="9" width="19" customWidth="1"/>
    <col min="10" max="10" width="22.42578125" customWidth="1"/>
    <col min="11" max="11" width="22.28515625" style="16" customWidth="1"/>
    <col min="12" max="12" width="42.28515625" style="154" customWidth="1"/>
    <col min="13" max="13" width="25" style="16" customWidth="1"/>
    <col min="14" max="14" width="21.85546875" style="16" customWidth="1"/>
    <col min="15" max="15" width="18.85546875" style="16" customWidth="1"/>
    <col min="16" max="16" width="47.5703125" style="16" customWidth="1"/>
    <col min="17" max="17" width="45.42578125" style="16" customWidth="1"/>
    <col min="18" max="18" width="25.7109375" style="156" customWidth="1"/>
    <col min="19" max="19" width="19.28515625" style="16" customWidth="1"/>
    <col min="20" max="20" width="19.5703125" customWidth="1"/>
    <col min="21" max="21" width="42.140625" customWidth="1"/>
    <col min="22" max="22" width="42.42578125" customWidth="1"/>
    <col min="23" max="23" width="26.5703125" style="16" customWidth="1"/>
    <col min="24" max="24" width="19.42578125" style="16" customWidth="1"/>
    <col min="25" max="25" width="18" customWidth="1"/>
    <col min="26" max="26" width="23.42578125" customWidth="1"/>
    <col min="27" max="27" width="27.140625" style="16" customWidth="1"/>
    <col min="28" max="28" width="1.140625" style="16" customWidth="1"/>
    <col min="29" max="31" width="11.7109375" style="16" customWidth="1"/>
    <col min="32" max="32" width="12.7109375" customWidth="1"/>
    <col min="256" max="256" width="4.5703125" customWidth="1"/>
    <col min="257" max="257" width="18.42578125" customWidth="1"/>
    <col min="258" max="258" width="17.42578125" customWidth="1"/>
    <col min="259" max="259" width="6.5703125" customWidth="1"/>
    <col min="260" max="260" width="28.42578125" customWidth="1"/>
    <col min="261" max="261" width="20.42578125" customWidth="1"/>
    <col min="262" max="262" width="20.140625" customWidth="1"/>
    <col min="263" max="273" width="7.42578125" customWidth="1"/>
    <col min="512" max="512" width="4.5703125" customWidth="1"/>
    <col min="513" max="513" width="18.42578125" customWidth="1"/>
    <col min="514" max="514" width="17.42578125" customWidth="1"/>
    <col min="515" max="515" width="6.5703125" customWidth="1"/>
    <col min="516" max="516" width="28.42578125" customWidth="1"/>
    <col min="517" max="517" width="20.42578125" customWidth="1"/>
    <col min="518" max="518" width="20.140625" customWidth="1"/>
    <col min="519" max="529" width="7.42578125" customWidth="1"/>
    <col min="768" max="768" width="4.5703125" customWidth="1"/>
    <col min="769" max="769" width="18.42578125" customWidth="1"/>
    <col min="770" max="770" width="17.42578125" customWidth="1"/>
    <col min="771" max="771" width="6.5703125" customWidth="1"/>
    <col min="772" max="772" width="28.42578125" customWidth="1"/>
    <col min="773" max="773" width="20.42578125" customWidth="1"/>
    <col min="774" max="774" width="20.140625" customWidth="1"/>
    <col min="775" max="785" width="7.42578125" customWidth="1"/>
    <col min="1024" max="1024" width="4.5703125" customWidth="1"/>
    <col min="1025" max="1025" width="18.42578125" customWidth="1"/>
    <col min="1026" max="1026" width="17.42578125" customWidth="1"/>
    <col min="1027" max="1027" width="6.5703125" customWidth="1"/>
    <col min="1028" max="1028" width="28.42578125" customWidth="1"/>
    <col min="1029" max="1029" width="20.42578125" customWidth="1"/>
    <col min="1030" max="1030" width="20.140625" customWidth="1"/>
    <col min="1031" max="1041" width="7.42578125" customWidth="1"/>
    <col min="1280" max="1280" width="4.5703125" customWidth="1"/>
    <col min="1281" max="1281" width="18.42578125" customWidth="1"/>
    <col min="1282" max="1282" width="17.42578125" customWidth="1"/>
    <col min="1283" max="1283" width="6.5703125" customWidth="1"/>
    <col min="1284" max="1284" width="28.42578125" customWidth="1"/>
    <col min="1285" max="1285" width="20.42578125" customWidth="1"/>
    <col min="1286" max="1286" width="20.140625" customWidth="1"/>
    <col min="1287" max="1297" width="7.42578125" customWidth="1"/>
    <col min="1536" max="1536" width="4.5703125" customWidth="1"/>
    <col min="1537" max="1537" width="18.42578125" customWidth="1"/>
    <col min="1538" max="1538" width="17.42578125" customWidth="1"/>
    <col min="1539" max="1539" width="6.5703125" customWidth="1"/>
    <col min="1540" max="1540" width="28.42578125" customWidth="1"/>
    <col min="1541" max="1541" width="20.42578125" customWidth="1"/>
    <col min="1542" max="1542" width="20.140625" customWidth="1"/>
    <col min="1543" max="1553" width="7.42578125" customWidth="1"/>
    <col min="1792" max="1792" width="4.5703125" customWidth="1"/>
    <col min="1793" max="1793" width="18.42578125" customWidth="1"/>
    <col min="1794" max="1794" width="17.42578125" customWidth="1"/>
    <col min="1795" max="1795" width="6.5703125" customWidth="1"/>
    <col min="1796" max="1796" width="28.42578125" customWidth="1"/>
    <col min="1797" max="1797" width="20.42578125" customWidth="1"/>
    <col min="1798" max="1798" width="20.140625" customWidth="1"/>
    <col min="1799" max="1809" width="7.42578125" customWidth="1"/>
    <col min="2048" max="2048" width="4.5703125" customWidth="1"/>
    <col min="2049" max="2049" width="18.42578125" customWidth="1"/>
    <col min="2050" max="2050" width="17.42578125" customWidth="1"/>
    <col min="2051" max="2051" width="6.5703125" customWidth="1"/>
    <col min="2052" max="2052" width="28.42578125" customWidth="1"/>
    <col min="2053" max="2053" width="20.42578125" customWidth="1"/>
    <col min="2054" max="2054" width="20.140625" customWidth="1"/>
    <col min="2055" max="2065" width="7.42578125" customWidth="1"/>
    <col min="2304" max="2304" width="4.5703125" customWidth="1"/>
    <col min="2305" max="2305" width="18.42578125" customWidth="1"/>
    <col min="2306" max="2306" width="17.42578125" customWidth="1"/>
    <col min="2307" max="2307" width="6.5703125" customWidth="1"/>
    <col min="2308" max="2308" width="28.42578125" customWidth="1"/>
    <col min="2309" max="2309" width="20.42578125" customWidth="1"/>
    <col min="2310" max="2310" width="20.140625" customWidth="1"/>
    <col min="2311" max="2321" width="7.42578125" customWidth="1"/>
    <col min="2560" max="2560" width="4.5703125" customWidth="1"/>
    <col min="2561" max="2561" width="18.42578125" customWidth="1"/>
    <col min="2562" max="2562" width="17.42578125" customWidth="1"/>
    <col min="2563" max="2563" width="6.5703125" customWidth="1"/>
    <col min="2564" max="2564" width="28.42578125" customWidth="1"/>
    <col min="2565" max="2565" width="20.42578125" customWidth="1"/>
    <col min="2566" max="2566" width="20.140625" customWidth="1"/>
    <col min="2567" max="2577" width="7.42578125" customWidth="1"/>
    <col min="2816" max="2816" width="4.5703125" customWidth="1"/>
    <col min="2817" max="2817" width="18.42578125" customWidth="1"/>
    <col min="2818" max="2818" width="17.42578125" customWidth="1"/>
    <col min="2819" max="2819" width="6.5703125" customWidth="1"/>
    <col min="2820" max="2820" width="28.42578125" customWidth="1"/>
    <col min="2821" max="2821" width="20.42578125" customWidth="1"/>
    <col min="2822" max="2822" width="20.140625" customWidth="1"/>
    <col min="2823" max="2833" width="7.42578125" customWidth="1"/>
    <col min="3072" max="3072" width="4.5703125" customWidth="1"/>
    <col min="3073" max="3073" width="18.42578125" customWidth="1"/>
    <col min="3074" max="3074" width="17.42578125" customWidth="1"/>
    <col min="3075" max="3075" width="6.5703125" customWidth="1"/>
    <col min="3076" max="3076" width="28.42578125" customWidth="1"/>
    <col min="3077" max="3077" width="20.42578125" customWidth="1"/>
    <col min="3078" max="3078" width="20.140625" customWidth="1"/>
    <col min="3079" max="3089" width="7.42578125" customWidth="1"/>
    <col min="3328" max="3328" width="4.5703125" customWidth="1"/>
    <col min="3329" max="3329" width="18.42578125" customWidth="1"/>
    <col min="3330" max="3330" width="17.42578125" customWidth="1"/>
    <col min="3331" max="3331" width="6.5703125" customWidth="1"/>
    <col min="3332" max="3332" width="28.42578125" customWidth="1"/>
    <col min="3333" max="3333" width="20.42578125" customWidth="1"/>
    <col min="3334" max="3334" width="20.140625" customWidth="1"/>
    <col min="3335" max="3345" width="7.42578125" customWidth="1"/>
    <col min="3584" max="3584" width="4.5703125" customWidth="1"/>
    <col min="3585" max="3585" width="18.42578125" customWidth="1"/>
    <col min="3586" max="3586" width="17.42578125" customWidth="1"/>
    <col min="3587" max="3587" width="6.5703125" customWidth="1"/>
    <col min="3588" max="3588" width="28.42578125" customWidth="1"/>
    <col min="3589" max="3589" width="20.42578125" customWidth="1"/>
    <col min="3590" max="3590" width="20.140625" customWidth="1"/>
    <col min="3591" max="3601" width="7.42578125" customWidth="1"/>
    <col min="3840" max="3840" width="4.5703125" customWidth="1"/>
    <col min="3841" max="3841" width="18.42578125" customWidth="1"/>
    <col min="3842" max="3842" width="17.42578125" customWidth="1"/>
    <col min="3843" max="3843" width="6.5703125" customWidth="1"/>
    <col min="3844" max="3844" width="28.42578125" customWidth="1"/>
    <col min="3845" max="3845" width="20.42578125" customWidth="1"/>
    <col min="3846" max="3846" width="20.140625" customWidth="1"/>
    <col min="3847" max="3857" width="7.42578125" customWidth="1"/>
    <col min="4096" max="4096" width="4.5703125" customWidth="1"/>
    <col min="4097" max="4097" width="18.42578125" customWidth="1"/>
    <col min="4098" max="4098" width="17.42578125" customWidth="1"/>
    <col min="4099" max="4099" width="6.5703125" customWidth="1"/>
    <col min="4100" max="4100" width="28.42578125" customWidth="1"/>
    <col min="4101" max="4101" width="20.42578125" customWidth="1"/>
    <col min="4102" max="4102" width="20.140625" customWidth="1"/>
    <col min="4103" max="4113" width="7.42578125" customWidth="1"/>
    <col min="4352" max="4352" width="4.5703125" customWidth="1"/>
    <col min="4353" max="4353" width="18.42578125" customWidth="1"/>
    <col min="4354" max="4354" width="17.42578125" customWidth="1"/>
    <col min="4355" max="4355" width="6.5703125" customWidth="1"/>
    <col min="4356" max="4356" width="28.42578125" customWidth="1"/>
    <col min="4357" max="4357" width="20.42578125" customWidth="1"/>
    <col min="4358" max="4358" width="20.140625" customWidth="1"/>
    <col min="4359" max="4369" width="7.42578125" customWidth="1"/>
    <col min="4608" max="4608" width="4.5703125" customWidth="1"/>
    <col min="4609" max="4609" width="18.42578125" customWidth="1"/>
    <col min="4610" max="4610" width="17.42578125" customWidth="1"/>
    <col min="4611" max="4611" width="6.5703125" customWidth="1"/>
    <col min="4612" max="4612" width="28.42578125" customWidth="1"/>
    <col min="4613" max="4613" width="20.42578125" customWidth="1"/>
    <col min="4614" max="4614" width="20.140625" customWidth="1"/>
    <col min="4615" max="4625" width="7.42578125" customWidth="1"/>
    <col min="4864" max="4864" width="4.5703125" customWidth="1"/>
    <col min="4865" max="4865" width="18.42578125" customWidth="1"/>
    <col min="4866" max="4866" width="17.42578125" customWidth="1"/>
    <col min="4867" max="4867" width="6.5703125" customWidth="1"/>
    <col min="4868" max="4868" width="28.42578125" customWidth="1"/>
    <col min="4869" max="4869" width="20.42578125" customWidth="1"/>
    <col min="4870" max="4870" width="20.140625" customWidth="1"/>
    <col min="4871" max="4881" width="7.42578125" customWidth="1"/>
    <col min="5120" max="5120" width="4.5703125" customWidth="1"/>
    <col min="5121" max="5121" width="18.42578125" customWidth="1"/>
    <col min="5122" max="5122" width="17.42578125" customWidth="1"/>
    <col min="5123" max="5123" width="6.5703125" customWidth="1"/>
    <col min="5124" max="5124" width="28.42578125" customWidth="1"/>
    <col min="5125" max="5125" width="20.42578125" customWidth="1"/>
    <col min="5126" max="5126" width="20.140625" customWidth="1"/>
    <col min="5127" max="5137" width="7.42578125" customWidth="1"/>
    <col min="5376" max="5376" width="4.5703125" customWidth="1"/>
    <col min="5377" max="5377" width="18.42578125" customWidth="1"/>
    <col min="5378" max="5378" width="17.42578125" customWidth="1"/>
    <col min="5379" max="5379" width="6.5703125" customWidth="1"/>
    <col min="5380" max="5380" width="28.42578125" customWidth="1"/>
    <col min="5381" max="5381" width="20.42578125" customWidth="1"/>
    <col min="5382" max="5382" width="20.140625" customWidth="1"/>
    <col min="5383" max="5393" width="7.42578125" customWidth="1"/>
    <col min="5632" max="5632" width="4.5703125" customWidth="1"/>
    <col min="5633" max="5633" width="18.42578125" customWidth="1"/>
    <col min="5634" max="5634" width="17.42578125" customWidth="1"/>
    <col min="5635" max="5635" width="6.5703125" customWidth="1"/>
    <col min="5636" max="5636" width="28.42578125" customWidth="1"/>
    <col min="5637" max="5637" width="20.42578125" customWidth="1"/>
    <col min="5638" max="5638" width="20.140625" customWidth="1"/>
    <col min="5639" max="5649" width="7.42578125" customWidth="1"/>
    <col min="5888" max="5888" width="4.5703125" customWidth="1"/>
    <col min="5889" max="5889" width="18.42578125" customWidth="1"/>
    <col min="5890" max="5890" width="17.42578125" customWidth="1"/>
    <col min="5891" max="5891" width="6.5703125" customWidth="1"/>
    <col min="5892" max="5892" width="28.42578125" customWidth="1"/>
    <col min="5893" max="5893" width="20.42578125" customWidth="1"/>
    <col min="5894" max="5894" width="20.140625" customWidth="1"/>
    <col min="5895" max="5905" width="7.42578125" customWidth="1"/>
    <col min="6144" max="6144" width="4.5703125" customWidth="1"/>
    <col min="6145" max="6145" width="18.42578125" customWidth="1"/>
    <col min="6146" max="6146" width="17.42578125" customWidth="1"/>
    <col min="6147" max="6147" width="6.5703125" customWidth="1"/>
    <col min="6148" max="6148" width="28.42578125" customWidth="1"/>
    <col min="6149" max="6149" width="20.42578125" customWidth="1"/>
    <col min="6150" max="6150" width="20.140625" customWidth="1"/>
    <col min="6151" max="6161" width="7.42578125" customWidth="1"/>
    <col min="6400" max="6400" width="4.5703125" customWidth="1"/>
    <col min="6401" max="6401" width="18.42578125" customWidth="1"/>
    <col min="6402" max="6402" width="17.42578125" customWidth="1"/>
    <col min="6403" max="6403" width="6.5703125" customWidth="1"/>
    <col min="6404" max="6404" width="28.42578125" customWidth="1"/>
    <col min="6405" max="6405" width="20.42578125" customWidth="1"/>
    <col min="6406" max="6406" width="20.140625" customWidth="1"/>
    <col min="6407" max="6417" width="7.42578125" customWidth="1"/>
    <col min="6656" max="6656" width="4.5703125" customWidth="1"/>
    <col min="6657" max="6657" width="18.42578125" customWidth="1"/>
    <col min="6658" max="6658" width="17.42578125" customWidth="1"/>
    <col min="6659" max="6659" width="6.5703125" customWidth="1"/>
    <col min="6660" max="6660" width="28.42578125" customWidth="1"/>
    <col min="6661" max="6661" width="20.42578125" customWidth="1"/>
    <col min="6662" max="6662" width="20.140625" customWidth="1"/>
    <col min="6663" max="6673" width="7.42578125" customWidth="1"/>
    <col min="6912" max="6912" width="4.5703125" customWidth="1"/>
    <col min="6913" max="6913" width="18.42578125" customWidth="1"/>
    <col min="6914" max="6914" width="17.42578125" customWidth="1"/>
    <col min="6915" max="6915" width="6.5703125" customWidth="1"/>
    <col min="6916" max="6916" width="28.42578125" customWidth="1"/>
    <col min="6917" max="6917" width="20.42578125" customWidth="1"/>
    <col min="6918" max="6918" width="20.140625" customWidth="1"/>
    <col min="6919" max="6929" width="7.42578125" customWidth="1"/>
    <col min="7168" max="7168" width="4.5703125" customWidth="1"/>
    <col min="7169" max="7169" width="18.42578125" customWidth="1"/>
    <col min="7170" max="7170" width="17.42578125" customWidth="1"/>
    <col min="7171" max="7171" width="6.5703125" customWidth="1"/>
    <col min="7172" max="7172" width="28.42578125" customWidth="1"/>
    <col min="7173" max="7173" width="20.42578125" customWidth="1"/>
    <col min="7174" max="7174" width="20.140625" customWidth="1"/>
    <col min="7175" max="7185" width="7.42578125" customWidth="1"/>
    <col min="7424" max="7424" width="4.5703125" customWidth="1"/>
    <col min="7425" max="7425" width="18.42578125" customWidth="1"/>
    <col min="7426" max="7426" width="17.42578125" customWidth="1"/>
    <col min="7427" max="7427" width="6.5703125" customWidth="1"/>
    <col min="7428" max="7428" width="28.42578125" customWidth="1"/>
    <col min="7429" max="7429" width="20.42578125" customWidth="1"/>
    <col min="7430" max="7430" width="20.140625" customWidth="1"/>
    <col min="7431" max="7441" width="7.42578125" customWidth="1"/>
    <col min="7680" max="7680" width="4.5703125" customWidth="1"/>
    <col min="7681" max="7681" width="18.42578125" customWidth="1"/>
    <col min="7682" max="7682" width="17.42578125" customWidth="1"/>
    <col min="7683" max="7683" width="6.5703125" customWidth="1"/>
    <col min="7684" max="7684" width="28.42578125" customWidth="1"/>
    <col min="7685" max="7685" width="20.42578125" customWidth="1"/>
    <col min="7686" max="7686" width="20.140625" customWidth="1"/>
    <col min="7687" max="7697" width="7.42578125" customWidth="1"/>
    <col min="7936" max="7936" width="4.5703125" customWidth="1"/>
    <col min="7937" max="7937" width="18.42578125" customWidth="1"/>
    <col min="7938" max="7938" width="17.42578125" customWidth="1"/>
    <col min="7939" max="7939" width="6.5703125" customWidth="1"/>
    <col min="7940" max="7940" width="28.42578125" customWidth="1"/>
    <col min="7941" max="7941" width="20.42578125" customWidth="1"/>
    <col min="7942" max="7942" width="20.140625" customWidth="1"/>
    <col min="7943" max="7953" width="7.42578125" customWidth="1"/>
    <col min="8192" max="8192" width="4.5703125" customWidth="1"/>
    <col min="8193" max="8193" width="18.42578125" customWidth="1"/>
    <col min="8194" max="8194" width="17.42578125" customWidth="1"/>
    <col min="8195" max="8195" width="6.5703125" customWidth="1"/>
    <col min="8196" max="8196" width="28.42578125" customWidth="1"/>
    <col min="8197" max="8197" width="20.42578125" customWidth="1"/>
    <col min="8198" max="8198" width="20.140625" customWidth="1"/>
    <col min="8199" max="8209" width="7.42578125" customWidth="1"/>
    <col min="8448" max="8448" width="4.5703125" customWidth="1"/>
    <col min="8449" max="8449" width="18.42578125" customWidth="1"/>
    <col min="8450" max="8450" width="17.42578125" customWidth="1"/>
    <col min="8451" max="8451" width="6.5703125" customWidth="1"/>
    <col min="8452" max="8452" width="28.42578125" customWidth="1"/>
    <col min="8453" max="8453" width="20.42578125" customWidth="1"/>
    <col min="8454" max="8454" width="20.140625" customWidth="1"/>
    <col min="8455" max="8465" width="7.42578125" customWidth="1"/>
    <col min="8704" max="8704" width="4.5703125" customWidth="1"/>
    <col min="8705" max="8705" width="18.42578125" customWidth="1"/>
    <col min="8706" max="8706" width="17.42578125" customWidth="1"/>
    <col min="8707" max="8707" width="6.5703125" customWidth="1"/>
    <col min="8708" max="8708" width="28.42578125" customWidth="1"/>
    <col min="8709" max="8709" width="20.42578125" customWidth="1"/>
    <col min="8710" max="8710" width="20.140625" customWidth="1"/>
    <col min="8711" max="8721" width="7.42578125" customWidth="1"/>
    <col min="8960" max="8960" width="4.5703125" customWidth="1"/>
    <col min="8961" max="8961" width="18.42578125" customWidth="1"/>
    <col min="8962" max="8962" width="17.42578125" customWidth="1"/>
    <col min="8963" max="8963" width="6.5703125" customWidth="1"/>
    <col min="8964" max="8964" width="28.42578125" customWidth="1"/>
    <col min="8965" max="8965" width="20.42578125" customWidth="1"/>
    <col min="8966" max="8966" width="20.140625" customWidth="1"/>
    <col min="8967" max="8977" width="7.42578125" customWidth="1"/>
    <col min="9216" max="9216" width="4.5703125" customWidth="1"/>
    <col min="9217" max="9217" width="18.42578125" customWidth="1"/>
    <col min="9218" max="9218" width="17.42578125" customWidth="1"/>
    <col min="9219" max="9219" width="6.5703125" customWidth="1"/>
    <col min="9220" max="9220" width="28.42578125" customWidth="1"/>
    <col min="9221" max="9221" width="20.42578125" customWidth="1"/>
    <col min="9222" max="9222" width="20.140625" customWidth="1"/>
    <col min="9223" max="9233" width="7.42578125" customWidth="1"/>
    <col min="9472" max="9472" width="4.5703125" customWidth="1"/>
    <col min="9473" max="9473" width="18.42578125" customWidth="1"/>
    <col min="9474" max="9474" width="17.42578125" customWidth="1"/>
    <col min="9475" max="9475" width="6.5703125" customWidth="1"/>
    <col min="9476" max="9476" width="28.42578125" customWidth="1"/>
    <col min="9477" max="9477" width="20.42578125" customWidth="1"/>
    <col min="9478" max="9478" width="20.140625" customWidth="1"/>
    <col min="9479" max="9489" width="7.42578125" customWidth="1"/>
    <col min="9728" max="9728" width="4.5703125" customWidth="1"/>
    <col min="9729" max="9729" width="18.42578125" customWidth="1"/>
    <col min="9730" max="9730" width="17.42578125" customWidth="1"/>
    <col min="9731" max="9731" width="6.5703125" customWidth="1"/>
    <col min="9732" max="9732" width="28.42578125" customWidth="1"/>
    <col min="9733" max="9733" width="20.42578125" customWidth="1"/>
    <col min="9734" max="9734" width="20.140625" customWidth="1"/>
    <col min="9735" max="9745" width="7.42578125" customWidth="1"/>
    <col min="9984" max="9984" width="4.5703125" customWidth="1"/>
    <col min="9985" max="9985" width="18.42578125" customWidth="1"/>
    <col min="9986" max="9986" width="17.42578125" customWidth="1"/>
    <col min="9987" max="9987" width="6.5703125" customWidth="1"/>
    <col min="9988" max="9988" width="28.42578125" customWidth="1"/>
    <col min="9989" max="9989" width="20.42578125" customWidth="1"/>
    <col min="9990" max="9990" width="20.140625" customWidth="1"/>
    <col min="9991" max="10001" width="7.42578125" customWidth="1"/>
    <col min="10240" max="10240" width="4.5703125" customWidth="1"/>
    <col min="10241" max="10241" width="18.42578125" customWidth="1"/>
    <col min="10242" max="10242" width="17.42578125" customWidth="1"/>
    <col min="10243" max="10243" width="6.5703125" customWidth="1"/>
    <col min="10244" max="10244" width="28.42578125" customWidth="1"/>
    <col min="10245" max="10245" width="20.42578125" customWidth="1"/>
    <col min="10246" max="10246" width="20.140625" customWidth="1"/>
    <col min="10247" max="10257" width="7.42578125" customWidth="1"/>
    <col min="10496" max="10496" width="4.5703125" customWidth="1"/>
    <col min="10497" max="10497" width="18.42578125" customWidth="1"/>
    <col min="10498" max="10498" width="17.42578125" customWidth="1"/>
    <col min="10499" max="10499" width="6.5703125" customWidth="1"/>
    <col min="10500" max="10500" width="28.42578125" customWidth="1"/>
    <col min="10501" max="10501" width="20.42578125" customWidth="1"/>
    <col min="10502" max="10502" width="20.140625" customWidth="1"/>
    <col min="10503" max="10513" width="7.42578125" customWidth="1"/>
    <col min="10752" max="10752" width="4.5703125" customWidth="1"/>
    <col min="10753" max="10753" width="18.42578125" customWidth="1"/>
    <col min="10754" max="10754" width="17.42578125" customWidth="1"/>
    <col min="10755" max="10755" width="6.5703125" customWidth="1"/>
    <col min="10756" max="10756" width="28.42578125" customWidth="1"/>
    <col min="10757" max="10757" width="20.42578125" customWidth="1"/>
    <col min="10758" max="10758" width="20.140625" customWidth="1"/>
    <col min="10759" max="10769" width="7.42578125" customWidth="1"/>
    <col min="11008" max="11008" width="4.5703125" customWidth="1"/>
    <col min="11009" max="11009" width="18.42578125" customWidth="1"/>
    <col min="11010" max="11010" width="17.42578125" customWidth="1"/>
    <col min="11011" max="11011" width="6.5703125" customWidth="1"/>
    <col min="11012" max="11012" width="28.42578125" customWidth="1"/>
    <col min="11013" max="11013" width="20.42578125" customWidth="1"/>
    <col min="11014" max="11014" width="20.140625" customWidth="1"/>
    <col min="11015" max="11025" width="7.42578125" customWidth="1"/>
    <col min="11264" max="11264" width="4.5703125" customWidth="1"/>
    <col min="11265" max="11265" width="18.42578125" customWidth="1"/>
    <col min="11266" max="11266" width="17.42578125" customWidth="1"/>
    <col min="11267" max="11267" width="6.5703125" customWidth="1"/>
    <col min="11268" max="11268" width="28.42578125" customWidth="1"/>
    <col min="11269" max="11269" width="20.42578125" customWidth="1"/>
    <col min="11270" max="11270" width="20.140625" customWidth="1"/>
    <col min="11271" max="11281" width="7.42578125" customWidth="1"/>
    <col min="11520" max="11520" width="4.5703125" customWidth="1"/>
    <col min="11521" max="11521" width="18.42578125" customWidth="1"/>
    <col min="11522" max="11522" width="17.42578125" customWidth="1"/>
    <col min="11523" max="11523" width="6.5703125" customWidth="1"/>
    <col min="11524" max="11524" width="28.42578125" customWidth="1"/>
    <col min="11525" max="11525" width="20.42578125" customWidth="1"/>
    <col min="11526" max="11526" width="20.140625" customWidth="1"/>
    <col min="11527" max="11537" width="7.42578125" customWidth="1"/>
    <col min="11776" max="11776" width="4.5703125" customWidth="1"/>
    <col min="11777" max="11777" width="18.42578125" customWidth="1"/>
    <col min="11778" max="11778" width="17.42578125" customWidth="1"/>
    <col min="11779" max="11779" width="6.5703125" customWidth="1"/>
    <col min="11780" max="11780" width="28.42578125" customWidth="1"/>
    <col min="11781" max="11781" width="20.42578125" customWidth="1"/>
    <col min="11782" max="11782" width="20.140625" customWidth="1"/>
    <col min="11783" max="11793" width="7.42578125" customWidth="1"/>
    <col min="12032" max="12032" width="4.5703125" customWidth="1"/>
    <col min="12033" max="12033" width="18.42578125" customWidth="1"/>
    <col min="12034" max="12034" width="17.42578125" customWidth="1"/>
    <col min="12035" max="12035" width="6.5703125" customWidth="1"/>
    <col min="12036" max="12036" width="28.42578125" customWidth="1"/>
    <col min="12037" max="12037" width="20.42578125" customWidth="1"/>
    <col min="12038" max="12038" width="20.140625" customWidth="1"/>
    <col min="12039" max="12049" width="7.42578125" customWidth="1"/>
    <col min="12288" max="12288" width="4.5703125" customWidth="1"/>
    <col min="12289" max="12289" width="18.42578125" customWidth="1"/>
    <col min="12290" max="12290" width="17.42578125" customWidth="1"/>
    <col min="12291" max="12291" width="6.5703125" customWidth="1"/>
    <col min="12292" max="12292" width="28.42578125" customWidth="1"/>
    <col min="12293" max="12293" width="20.42578125" customWidth="1"/>
    <col min="12294" max="12294" width="20.140625" customWidth="1"/>
    <col min="12295" max="12305" width="7.42578125" customWidth="1"/>
    <col min="12544" max="12544" width="4.5703125" customWidth="1"/>
    <col min="12545" max="12545" width="18.42578125" customWidth="1"/>
    <col min="12546" max="12546" width="17.42578125" customWidth="1"/>
    <col min="12547" max="12547" width="6.5703125" customWidth="1"/>
    <col min="12548" max="12548" width="28.42578125" customWidth="1"/>
    <col min="12549" max="12549" width="20.42578125" customWidth="1"/>
    <col min="12550" max="12550" width="20.140625" customWidth="1"/>
    <col min="12551" max="12561" width="7.42578125" customWidth="1"/>
    <col min="12800" max="12800" width="4.5703125" customWidth="1"/>
    <col min="12801" max="12801" width="18.42578125" customWidth="1"/>
    <col min="12802" max="12802" width="17.42578125" customWidth="1"/>
    <col min="12803" max="12803" width="6.5703125" customWidth="1"/>
    <col min="12804" max="12804" width="28.42578125" customWidth="1"/>
    <col min="12805" max="12805" width="20.42578125" customWidth="1"/>
    <col min="12806" max="12806" width="20.140625" customWidth="1"/>
    <col min="12807" max="12817" width="7.42578125" customWidth="1"/>
    <col min="13056" max="13056" width="4.5703125" customWidth="1"/>
    <col min="13057" max="13057" width="18.42578125" customWidth="1"/>
    <col min="13058" max="13058" width="17.42578125" customWidth="1"/>
    <col min="13059" max="13059" width="6.5703125" customWidth="1"/>
    <col min="13060" max="13060" width="28.42578125" customWidth="1"/>
    <col min="13061" max="13061" width="20.42578125" customWidth="1"/>
    <col min="13062" max="13062" width="20.140625" customWidth="1"/>
    <col min="13063" max="13073" width="7.42578125" customWidth="1"/>
    <col min="13312" max="13312" width="4.5703125" customWidth="1"/>
    <col min="13313" max="13313" width="18.42578125" customWidth="1"/>
    <col min="13314" max="13314" width="17.42578125" customWidth="1"/>
    <col min="13315" max="13315" width="6.5703125" customWidth="1"/>
    <col min="13316" max="13316" width="28.42578125" customWidth="1"/>
    <col min="13317" max="13317" width="20.42578125" customWidth="1"/>
    <col min="13318" max="13318" width="20.140625" customWidth="1"/>
    <col min="13319" max="13329" width="7.42578125" customWidth="1"/>
    <col min="13568" max="13568" width="4.5703125" customWidth="1"/>
    <col min="13569" max="13569" width="18.42578125" customWidth="1"/>
    <col min="13570" max="13570" width="17.42578125" customWidth="1"/>
    <col min="13571" max="13571" width="6.5703125" customWidth="1"/>
    <col min="13572" max="13572" width="28.42578125" customWidth="1"/>
    <col min="13573" max="13573" width="20.42578125" customWidth="1"/>
    <col min="13574" max="13574" width="20.140625" customWidth="1"/>
    <col min="13575" max="13585" width="7.42578125" customWidth="1"/>
    <col min="13824" max="13824" width="4.5703125" customWidth="1"/>
    <col min="13825" max="13825" width="18.42578125" customWidth="1"/>
    <col min="13826" max="13826" width="17.42578125" customWidth="1"/>
    <col min="13827" max="13827" width="6.5703125" customWidth="1"/>
    <col min="13828" max="13828" width="28.42578125" customWidth="1"/>
    <col min="13829" max="13829" width="20.42578125" customWidth="1"/>
    <col min="13830" max="13830" width="20.140625" customWidth="1"/>
    <col min="13831" max="13841" width="7.42578125" customWidth="1"/>
    <col min="14080" max="14080" width="4.5703125" customWidth="1"/>
    <col min="14081" max="14081" width="18.42578125" customWidth="1"/>
    <col min="14082" max="14082" width="17.42578125" customWidth="1"/>
    <col min="14083" max="14083" width="6.5703125" customWidth="1"/>
    <col min="14084" max="14084" width="28.42578125" customWidth="1"/>
    <col min="14085" max="14085" width="20.42578125" customWidth="1"/>
    <col min="14086" max="14086" width="20.140625" customWidth="1"/>
    <col min="14087" max="14097" width="7.42578125" customWidth="1"/>
    <col min="14336" max="14336" width="4.5703125" customWidth="1"/>
    <col min="14337" max="14337" width="18.42578125" customWidth="1"/>
    <col min="14338" max="14338" width="17.42578125" customWidth="1"/>
    <col min="14339" max="14339" width="6.5703125" customWidth="1"/>
    <col min="14340" max="14340" width="28.42578125" customWidth="1"/>
    <col min="14341" max="14341" width="20.42578125" customWidth="1"/>
    <col min="14342" max="14342" width="20.140625" customWidth="1"/>
    <col min="14343" max="14353" width="7.42578125" customWidth="1"/>
    <col min="14592" max="14592" width="4.5703125" customWidth="1"/>
    <col min="14593" max="14593" width="18.42578125" customWidth="1"/>
    <col min="14594" max="14594" width="17.42578125" customWidth="1"/>
    <col min="14595" max="14595" width="6.5703125" customWidth="1"/>
    <col min="14596" max="14596" width="28.42578125" customWidth="1"/>
    <col min="14597" max="14597" width="20.42578125" customWidth="1"/>
    <col min="14598" max="14598" width="20.140625" customWidth="1"/>
    <col min="14599" max="14609" width="7.42578125" customWidth="1"/>
    <col min="14848" max="14848" width="4.5703125" customWidth="1"/>
    <col min="14849" max="14849" width="18.42578125" customWidth="1"/>
    <col min="14850" max="14850" width="17.42578125" customWidth="1"/>
    <col min="14851" max="14851" width="6.5703125" customWidth="1"/>
    <col min="14852" max="14852" width="28.42578125" customWidth="1"/>
    <col min="14853" max="14853" width="20.42578125" customWidth="1"/>
    <col min="14854" max="14854" width="20.140625" customWidth="1"/>
    <col min="14855" max="14865" width="7.42578125" customWidth="1"/>
    <col min="15104" max="15104" width="4.5703125" customWidth="1"/>
    <col min="15105" max="15105" width="18.42578125" customWidth="1"/>
    <col min="15106" max="15106" width="17.42578125" customWidth="1"/>
    <col min="15107" max="15107" width="6.5703125" customWidth="1"/>
    <col min="15108" max="15108" width="28.42578125" customWidth="1"/>
    <col min="15109" max="15109" width="20.42578125" customWidth="1"/>
    <col min="15110" max="15110" width="20.140625" customWidth="1"/>
    <col min="15111" max="15121" width="7.42578125" customWidth="1"/>
    <col min="15360" max="15360" width="4.5703125" customWidth="1"/>
    <col min="15361" max="15361" width="18.42578125" customWidth="1"/>
    <col min="15362" max="15362" width="17.42578125" customWidth="1"/>
    <col min="15363" max="15363" width="6.5703125" customWidth="1"/>
    <col min="15364" max="15364" width="28.42578125" customWidth="1"/>
    <col min="15365" max="15365" width="20.42578125" customWidth="1"/>
    <col min="15366" max="15366" width="20.140625" customWidth="1"/>
    <col min="15367" max="15377" width="7.42578125" customWidth="1"/>
    <col min="15616" max="15616" width="4.5703125" customWidth="1"/>
    <col min="15617" max="15617" width="18.42578125" customWidth="1"/>
    <col min="15618" max="15618" width="17.42578125" customWidth="1"/>
    <col min="15619" max="15619" width="6.5703125" customWidth="1"/>
    <col min="15620" max="15620" width="28.42578125" customWidth="1"/>
    <col min="15621" max="15621" width="20.42578125" customWidth="1"/>
    <col min="15622" max="15622" width="20.140625" customWidth="1"/>
    <col min="15623" max="15633" width="7.42578125" customWidth="1"/>
    <col min="15872" max="15872" width="4.5703125" customWidth="1"/>
    <col min="15873" max="15873" width="18.42578125" customWidth="1"/>
    <col min="15874" max="15874" width="17.42578125" customWidth="1"/>
    <col min="15875" max="15875" width="6.5703125" customWidth="1"/>
    <col min="15876" max="15876" width="28.42578125" customWidth="1"/>
    <col min="15877" max="15877" width="20.42578125" customWidth="1"/>
    <col min="15878" max="15878" width="20.140625" customWidth="1"/>
    <col min="15879" max="15889" width="7.42578125" customWidth="1"/>
    <col min="16128" max="16128" width="4.5703125" customWidth="1"/>
    <col min="16129" max="16129" width="18.42578125" customWidth="1"/>
    <col min="16130" max="16130" width="17.42578125" customWidth="1"/>
    <col min="16131" max="16131" width="6.5703125" customWidth="1"/>
    <col min="16132" max="16132" width="28.42578125" customWidth="1"/>
    <col min="16133" max="16133" width="20.42578125" customWidth="1"/>
    <col min="16134" max="16134" width="20.140625" customWidth="1"/>
    <col min="16135" max="16145" width="7.42578125" customWidth="1"/>
  </cols>
  <sheetData>
    <row r="1" spans="1:32" ht="12.75" customHeight="1" thickBot="1" x14ac:dyDescent="0.3">
      <c r="H1" s="2"/>
      <c r="I1" s="2"/>
      <c r="J1" s="2"/>
      <c r="K1" s="2"/>
      <c r="L1" s="3"/>
      <c r="M1" s="2"/>
      <c r="N1" s="2"/>
      <c r="O1" s="2"/>
      <c r="P1" s="2"/>
      <c r="Q1" s="2"/>
      <c r="R1" s="2"/>
      <c r="S1" s="2"/>
      <c r="T1" s="2"/>
      <c r="U1" s="2"/>
      <c r="V1" s="2"/>
      <c r="W1" s="2"/>
      <c r="X1" s="2"/>
      <c r="Y1" s="2"/>
      <c r="Z1" s="2"/>
      <c r="AA1" s="2"/>
      <c r="AB1" s="2"/>
      <c r="AC1" s="2"/>
      <c r="AD1" s="2"/>
      <c r="AE1" s="2"/>
    </row>
    <row r="2" spans="1:32" ht="34.5" customHeight="1" thickBot="1" x14ac:dyDescent="0.3">
      <c r="A2" s="4"/>
      <c r="B2" s="4"/>
      <c r="C2" s="4"/>
      <c r="D2" s="4"/>
      <c r="E2" s="4"/>
      <c r="F2" s="5"/>
      <c r="G2" s="6"/>
      <c r="H2" s="7" t="s">
        <v>0</v>
      </c>
      <c r="I2" s="7"/>
      <c r="J2" s="8"/>
      <c r="K2" s="9" t="s">
        <v>1</v>
      </c>
      <c r="L2" s="10"/>
      <c r="M2" s="11"/>
      <c r="N2" s="12"/>
      <c r="O2" s="13" t="s">
        <v>2</v>
      </c>
      <c r="P2" s="14" t="s">
        <v>3</v>
      </c>
      <c r="Q2" s="15" t="s">
        <v>4</v>
      </c>
      <c r="R2" s="16"/>
      <c r="T2" s="3"/>
      <c r="U2" s="3"/>
      <c r="V2" s="3"/>
      <c r="W2" s="3"/>
      <c r="X2" s="3"/>
      <c r="Y2" s="3"/>
      <c r="Z2" s="3"/>
      <c r="AA2" s="3"/>
      <c r="AB2" s="3"/>
      <c r="AC2" s="3"/>
      <c r="AD2" s="3"/>
      <c r="AE2" s="3"/>
    </row>
    <row r="3" spans="1:32" ht="48.75" customHeight="1" x14ac:dyDescent="0.25">
      <c r="A3" s="4"/>
      <c r="B3" s="4"/>
      <c r="C3" s="4"/>
      <c r="D3" s="4"/>
      <c r="E3" s="4"/>
      <c r="F3" s="17"/>
      <c r="G3" s="18"/>
      <c r="H3" s="19"/>
      <c r="I3" s="19"/>
      <c r="J3" s="20"/>
      <c r="K3" s="21"/>
      <c r="L3" s="22"/>
      <c r="M3" s="23" t="s">
        <v>5</v>
      </c>
      <c r="N3" s="24"/>
      <c r="O3" s="25">
        <f>SUM(AC8:AC24)</f>
        <v>0.22265711745105216</v>
      </c>
      <c r="P3" s="26">
        <f>SUM(AD8:AD24)</f>
        <v>0.49616065437476597</v>
      </c>
      <c r="Q3" s="27">
        <f>SUM(AE8:AE24)</f>
        <v>0</v>
      </c>
      <c r="R3" s="16"/>
      <c r="S3" s="28" t="s">
        <v>6</v>
      </c>
      <c r="T3" s="29" t="s">
        <v>7</v>
      </c>
      <c r="U3" s="30" t="s">
        <v>8</v>
      </c>
      <c r="V3" s="31" t="s">
        <v>9</v>
      </c>
      <c r="AB3" s="3"/>
      <c r="AC3" s="3"/>
      <c r="AD3" s="3"/>
      <c r="AE3" s="3"/>
    </row>
    <row r="4" spans="1:32" ht="48.75" customHeight="1" thickBot="1" x14ac:dyDescent="0.3">
      <c r="A4" s="4"/>
      <c r="B4" s="4"/>
      <c r="C4" s="4"/>
      <c r="D4" s="4"/>
      <c r="E4" s="4"/>
      <c r="F4" s="32"/>
      <c r="G4" s="33"/>
      <c r="H4" s="34"/>
      <c r="I4" s="34"/>
      <c r="J4" s="35"/>
      <c r="K4" s="36"/>
      <c r="L4" s="37"/>
      <c r="M4" s="38" t="s">
        <v>10</v>
      </c>
      <c r="N4" s="39"/>
      <c r="O4" s="40">
        <f>SUM(R8:R24)/17</f>
        <v>0.68937103815430845</v>
      </c>
      <c r="P4" s="41">
        <f>SUM(W8:W24)/17</f>
        <v>0.80177836809093761</v>
      </c>
      <c r="Q4" s="42">
        <f>SUM(AA8:AA24)/17</f>
        <v>0</v>
      </c>
      <c r="R4" s="16"/>
      <c r="T4" s="3"/>
      <c r="U4" s="3"/>
      <c r="V4" s="3"/>
      <c r="W4" s="3"/>
      <c r="X4" s="3"/>
      <c r="Y4" s="3"/>
      <c r="Z4" s="3"/>
      <c r="AA4" s="3"/>
      <c r="AB4" s="3"/>
      <c r="AC4" s="3"/>
      <c r="AD4" s="3"/>
      <c r="AE4" s="3"/>
    </row>
    <row r="5" spans="1:32" ht="11.25" customHeight="1" thickBot="1" x14ac:dyDescent="0.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32" ht="33" customHeight="1" thickTop="1" x14ac:dyDescent="0.25">
      <c r="A6" s="43"/>
      <c r="B6" s="44" t="s">
        <v>11</v>
      </c>
      <c r="C6" s="44" t="s">
        <v>12</v>
      </c>
      <c r="D6" s="44" t="s">
        <v>13</v>
      </c>
      <c r="E6" s="44" t="s">
        <v>14</v>
      </c>
      <c r="F6" s="45" t="s">
        <v>15</v>
      </c>
      <c r="G6" s="46" t="s">
        <v>16</v>
      </c>
      <c r="H6" s="47" t="s">
        <v>17</v>
      </c>
      <c r="I6" s="47" t="s">
        <v>18</v>
      </c>
      <c r="J6" s="47" t="s">
        <v>19</v>
      </c>
      <c r="K6" s="47" t="s">
        <v>20</v>
      </c>
      <c r="L6" s="47" t="s">
        <v>21</v>
      </c>
      <c r="M6" s="47" t="s">
        <v>22</v>
      </c>
      <c r="N6" s="48" t="s">
        <v>23</v>
      </c>
      <c r="O6" s="49" t="s">
        <v>24</v>
      </c>
      <c r="P6" s="50" t="s">
        <v>25</v>
      </c>
      <c r="Q6" s="51"/>
      <c r="R6" s="52" t="s">
        <v>26</v>
      </c>
      <c r="S6" s="48" t="s">
        <v>27</v>
      </c>
      <c r="T6" s="49" t="s">
        <v>28</v>
      </c>
      <c r="U6" s="50" t="s">
        <v>25</v>
      </c>
      <c r="V6" s="51"/>
      <c r="W6" s="52" t="s">
        <v>29</v>
      </c>
      <c r="X6" s="48" t="s">
        <v>30</v>
      </c>
      <c r="Y6" s="49" t="s">
        <v>31</v>
      </c>
      <c r="Z6" s="52" t="s">
        <v>25</v>
      </c>
      <c r="AA6" s="53" t="s">
        <v>32</v>
      </c>
      <c r="AB6" s="54"/>
      <c r="AC6" s="55" t="s">
        <v>33</v>
      </c>
      <c r="AD6" s="56"/>
      <c r="AE6" s="57"/>
    </row>
    <row r="7" spans="1:32" ht="51" customHeight="1" thickBot="1" x14ac:dyDescent="0.3">
      <c r="A7" s="43"/>
      <c r="B7" s="58"/>
      <c r="C7" s="58"/>
      <c r="D7" s="58"/>
      <c r="E7" s="58"/>
      <c r="F7" s="59"/>
      <c r="G7" s="60"/>
      <c r="H7" s="61"/>
      <c r="I7" s="61"/>
      <c r="J7" s="61"/>
      <c r="K7" s="61"/>
      <c r="L7" s="61" t="s">
        <v>34</v>
      </c>
      <c r="M7" s="61" t="s">
        <v>34</v>
      </c>
      <c r="N7" s="62"/>
      <c r="O7" s="63"/>
      <c r="P7" s="64"/>
      <c r="Q7" s="65"/>
      <c r="R7" s="66"/>
      <c r="S7" s="62"/>
      <c r="T7" s="63"/>
      <c r="U7" s="64"/>
      <c r="V7" s="65"/>
      <c r="W7" s="66"/>
      <c r="X7" s="62"/>
      <c r="Y7" s="63"/>
      <c r="Z7" s="66"/>
      <c r="AA7" s="67"/>
      <c r="AB7" s="54"/>
      <c r="AC7" s="68" t="s">
        <v>2</v>
      </c>
      <c r="AD7" s="69" t="s">
        <v>3</v>
      </c>
      <c r="AE7" s="70" t="s">
        <v>35</v>
      </c>
    </row>
    <row r="8" spans="1:32" s="71" customFormat="1" ht="96.75" customHeight="1" thickTop="1" thickBot="1" x14ac:dyDescent="0.3">
      <c r="B8" s="72"/>
      <c r="C8" s="72"/>
      <c r="D8" s="72"/>
      <c r="E8" s="72"/>
      <c r="F8" s="73" t="s">
        <v>36</v>
      </c>
      <c r="G8" s="74" t="s">
        <v>37</v>
      </c>
      <c r="H8" s="75" t="s">
        <v>38</v>
      </c>
      <c r="I8" s="75" t="s">
        <v>39</v>
      </c>
      <c r="J8" s="75" t="s">
        <v>40</v>
      </c>
      <c r="K8" s="75" t="s">
        <v>41</v>
      </c>
      <c r="L8" s="76" t="s">
        <v>42</v>
      </c>
      <c r="M8" s="75" t="s">
        <v>43</v>
      </c>
      <c r="N8" s="77">
        <v>0.33</v>
      </c>
      <c r="O8" s="78">
        <v>0.33</v>
      </c>
      <c r="P8" s="79" t="s">
        <v>44</v>
      </c>
      <c r="Q8" s="80"/>
      <c r="R8" s="81">
        <f t="shared" ref="R8:R24" si="0">O8/N8</f>
        <v>1</v>
      </c>
      <c r="S8" s="77">
        <f>33%+N8</f>
        <v>0.66</v>
      </c>
      <c r="T8" s="78">
        <v>0.66</v>
      </c>
      <c r="U8" s="82" t="s">
        <v>45</v>
      </c>
      <c r="V8" s="83"/>
      <c r="W8" s="81">
        <f>T8/S8</f>
        <v>1</v>
      </c>
      <c r="X8" s="77">
        <f>34%+S8</f>
        <v>1</v>
      </c>
      <c r="Y8" s="84"/>
      <c r="Z8" s="85"/>
      <c r="AA8" s="86">
        <f t="shared" ref="AA8:AA24" si="1">(Y8*100%)/X8</f>
        <v>0</v>
      </c>
      <c r="AB8" s="54"/>
      <c r="AC8" s="87">
        <f t="shared" ref="AC8:AC24" si="2">(O8*5.88)/100</f>
        <v>1.9404000000000001E-2</v>
      </c>
      <c r="AD8" s="88">
        <f>(T8*5.88)/100</f>
        <v>3.8808000000000002E-2</v>
      </c>
      <c r="AE8" s="89">
        <f>(Y8*5.88)/100</f>
        <v>0</v>
      </c>
      <c r="AF8" s="90"/>
    </row>
    <row r="9" spans="1:32" ht="115.5" customHeight="1" thickBot="1" x14ac:dyDescent="0.3">
      <c r="A9" s="91"/>
      <c r="B9" s="92"/>
      <c r="C9" s="92"/>
      <c r="D9" s="92"/>
      <c r="E9" s="92"/>
      <c r="F9" s="93" t="s">
        <v>46</v>
      </c>
      <c r="G9" s="94" t="s">
        <v>47</v>
      </c>
      <c r="H9" s="95" t="s">
        <v>38</v>
      </c>
      <c r="I9" s="75" t="s">
        <v>39</v>
      </c>
      <c r="J9" s="75" t="s">
        <v>48</v>
      </c>
      <c r="K9" s="75" t="s">
        <v>49</v>
      </c>
      <c r="L9" s="75" t="s">
        <v>50</v>
      </c>
      <c r="M9" s="75" t="s">
        <v>51</v>
      </c>
      <c r="N9" s="77">
        <v>0.33</v>
      </c>
      <c r="O9" s="78">
        <v>0.33</v>
      </c>
      <c r="P9" s="96" t="s">
        <v>52</v>
      </c>
      <c r="Q9" s="97"/>
      <c r="R9" s="98">
        <f t="shared" si="0"/>
        <v>1</v>
      </c>
      <c r="S9" s="77">
        <f>33%+N9</f>
        <v>0.66</v>
      </c>
      <c r="T9" s="78">
        <v>0.66</v>
      </c>
      <c r="U9" s="96" t="s">
        <v>53</v>
      </c>
      <c r="V9" s="97"/>
      <c r="W9" s="81">
        <f t="shared" ref="W9:W24" si="3">T9/S9</f>
        <v>1</v>
      </c>
      <c r="X9" s="77">
        <f>34%+S9</f>
        <v>1</v>
      </c>
      <c r="Y9" s="99"/>
      <c r="Z9" s="100"/>
      <c r="AA9" s="101">
        <f t="shared" si="1"/>
        <v>0</v>
      </c>
      <c r="AB9" s="54"/>
      <c r="AC9" s="102">
        <f t="shared" si="2"/>
        <v>1.9404000000000001E-2</v>
      </c>
      <c r="AD9" s="103">
        <f>(T9*5.88)/100</f>
        <v>3.8808000000000002E-2</v>
      </c>
      <c r="AE9" s="104">
        <f>(Y9*5.88)/100</f>
        <v>0</v>
      </c>
      <c r="AF9" s="105"/>
    </row>
    <row r="10" spans="1:32" ht="180.75" customHeight="1" thickBot="1" x14ac:dyDescent="0.3">
      <c r="B10" s="106"/>
      <c r="C10" s="106"/>
      <c r="D10" s="106"/>
      <c r="E10" s="107"/>
      <c r="F10" s="93" t="s">
        <v>54</v>
      </c>
      <c r="G10" s="94" t="s">
        <v>55</v>
      </c>
      <c r="H10" s="95" t="s">
        <v>38</v>
      </c>
      <c r="I10" s="75" t="s">
        <v>39</v>
      </c>
      <c r="J10" s="75" t="s">
        <v>56</v>
      </c>
      <c r="K10" s="75" t="s">
        <v>57</v>
      </c>
      <c r="L10" s="75" t="s">
        <v>58</v>
      </c>
      <c r="M10" s="75" t="s">
        <v>59</v>
      </c>
      <c r="N10" s="77">
        <f>28/75</f>
        <v>0.37333333333333335</v>
      </c>
      <c r="O10" s="108">
        <f>28/75</f>
        <v>0.37333333333333335</v>
      </c>
      <c r="P10" s="109" t="s">
        <v>60</v>
      </c>
      <c r="Q10" s="110"/>
      <c r="R10" s="98">
        <f t="shared" si="0"/>
        <v>1</v>
      </c>
      <c r="S10" s="77">
        <f>(27/75)+N10</f>
        <v>0.73333333333333339</v>
      </c>
      <c r="T10" s="99">
        <f>(28+27)/75</f>
        <v>0.73333333333333328</v>
      </c>
      <c r="U10" s="111" t="s">
        <v>61</v>
      </c>
      <c r="V10" s="97"/>
      <c r="W10" s="81">
        <f t="shared" si="3"/>
        <v>0.99999999999999989</v>
      </c>
      <c r="X10" s="77">
        <f>(20/75)+S10</f>
        <v>1</v>
      </c>
      <c r="Y10" s="112"/>
      <c r="Z10" s="113"/>
      <c r="AA10" s="101">
        <f t="shared" si="1"/>
        <v>0</v>
      </c>
      <c r="AB10" s="54"/>
      <c r="AC10" s="102">
        <f t="shared" si="2"/>
        <v>2.1952000000000003E-2</v>
      </c>
      <c r="AD10" s="103">
        <f t="shared" ref="AD10:AD24" si="4">(T10*5.88)/100</f>
        <v>4.3119999999999992E-2</v>
      </c>
      <c r="AE10" s="104">
        <f t="shared" ref="AE10:AE24" si="5">(Y10*5.88)/100</f>
        <v>0</v>
      </c>
      <c r="AF10" s="105"/>
    </row>
    <row r="11" spans="1:32" ht="123.75" customHeight="1" thickBot="1" x14ac:dyDescent="0.3">
      <c r="B11" s="107"/>
      <c r="C11" s="107"/>
      <c r="D11" s="107"/>
      <c r="E11" s="107"/>
      <c r="F11" s="93" t="s">
        <v>62</v>
      </c>
      <c r="G11" s="94" t="s">
        <v>63</v>
      </c>
      <c r="H11" s="95" t="s">
        <v>38</v>
      </c>
      <c r="I11" s="75" t="s">
        <v>39</v>
      </c>
      <c r="J11" s="75" t="s">
        <v>64</v>
      </c>
      <c r="K11" s="75" t="s">
        <v>65</v>
      </c>
      <c r="L11" s="75" t="s">
        <v>66</v>
      </c>
      <c r="M11" s="75" t="s">
        <v>67</v>
      </c>
      <c r="N11" s="77">
        <f>26/78</f>
        <v>0.33333333333333331</v>
      </c>
      <c r="O11" s="108">
        <f>11/78</f>
        <v>0.14102564102564102</v>
      </c>
      <c r="P11" s="96" t="s">
        <v>68</v>
      </c>
      <c r="Q11" s="97"/>
      <c r="R11" s="98">
        <f t="shared" si="0"/>
        <v>0.42307692307692307</v>
      </c>
      <c r="S11" s="77">
        <f>(26/78)+N11</f>
        <v>0.66666666666666663</v>
      </c>
      <c r="T11" s="99">
        <f>(11+11)/78</f>
        <v>0.28205128205128205</v>
      </c>
      <c r="U11" s="96" t="s">
        <v>69</v>
      </c>
      <c r="V11" s="97"/>
      <c r="W11" s="81">
        <f t="shared" si="3"/>
        <v>0.42307692307692307</v>
      </c>
      <c r="X11" s="77">
        <f>(26/78)+S11</f>
        <v>1</v>
      </c>
      <c r="Y11" s="112"/>
      <c r="Z11" s="113"/>
      <c r="AA11" s="101">
        <f t="shared" si="1"/>
        <v>0</v>
      </c>
      <c r="AB11" s="54"/>
      <c r="AC11" s="102">
        <f t="shared" si="2"/>
        <v>8.2923076923076926E-3</v>
      </c>
      <c r="AD11" s="103">
        <f t="shared" si="4"/>
        <v>1.6584615384615385E-2</v>
      </c>
      <c r="AE11" s="104">
        <f t="shared" si="5"/>
        <v>0</v>
      </c>
      <c r="AF11" s="105"/>
    </row>
    <row r="12" spans="1:32" ht="71.25" customHeight="1" thickBot="1" x14ac:dyDescent="0.3">
      <c r="B12" s="114" t="s">
        <v>70</v>
      </c>
      <c r="C12" s="114" t="s">
        <v>71</v>
      </c>
      <c r="D12" s="114" t="s">
        <v>72</v>
      </c>
      <c r="E12" s="115">
        <v>0.59</v>
      </c>
      <c r="F12" s="93" t="s">
        <v>73</v>
      </c>
      <c r="G12" s="94" t="s">
        <v>74</v>
      </c>
      <c r="H12" s="95" t="s">
        <v>38</v>
      </c>
      <c r="I12" s="75" t="s">
        <v>39</v>
      </c>
      <c r="J12" s="95" t="s">
        <v>75</v>
      </c>
      <c r="K12" s="95" t="s">
        <v>76</v>
      </c>
      <c r="L12" s="95" t="s">
        <v>66</v>
      </c>
      <c r="M12" s="95" t="s">
        <v>67</v>
      </c>
      <c r="N12" s="77">
        <f>73/228</f>
        <v>0.32017543859649122</v>
      </c>
      <c r="O12" s="99">
        <f>73/228</f>
        <v>0.32017543859649122</v>
      </c>
      <c r="P12" s="116" t="s">
        <v>77</v>
      </c>
      <c r="Q12" s="117"/>
      <c r="R12" s="98">
        <f t="shared" si="0"/>
        <v>1</v>
      </c>
      <c r="S12" s="77">
        <f>(76/228)+N12</f>
        <v>0.65350877192982448</v>
      </c>
      <c r="T12" s="99">
        <f>(76/228)+O12</f>
        <v>0.65350877192982448</v>
      </c>
      <c r="U12" s="116" t="s">
        <v>78</v>
      </c>
      <c r="V12" s="117"/>
      <c r="W12" s="81">
        <f t="shared" si="3"/>
        <v>1</v>
      </c>
      <c r="X12" s="77">
        <f>(79/228)+S12</f>
        <v>1</v>
      </c>
      <c r="Y12" s="112"/>
      <c r="Z12" s="113"/>
      <c r="AA12" s="101">
        <f t="shared" si="1"/>
        <v>0</v>
      </c>
      <c r="AB12" s="54"/>
      <c r="AC12" s="102">
        <f t="shared" si="2"/>
        <v>1.8826315789473684E-2</v>
      </c>
      <c r="AD12" s="103">
        <f t="shared" si="4"/>
        <v>3.8426315789473676E-2</v>
      </c>
      <c r="AE12" s="104">
        <f t="shared" si="5"/>
        <v>0</v>
      </c>
    </row>
    <row r="13" spans="1:32" ht="137.25" customHeight="1" thickBot="1" x14ac:dyDescent="0.3">
      <c r="B13" s="118" t="s">
        <v>70</v>
      </c>
      <c r="C13" s="114" t="s">
        <v>79</v>
      </c>
      <c r="D13" s="114" t="s">
        <v>80</v>
      </c>
      <c r="E13" s="119">
        <v>0.21</v>
      </c>
      <c r="F13" s="120" t="s">
        <v>81</v>
      </c>
      <c r="G13" s="121" t="s">
        <v>82</v>
      </c>
      <c r="H13" s="122" t="s">
        <v>38</v>
      </c>
      <c r="I13" s="122" t="s">
        <v>83</v>
      </c>
      <c r="J13" s="123" t="s">
        <v>84</v>
      </c>
      <c r="K13" s="122" t="s">
        <v>85</v>
      </c>
      <c r="L13" s="122" t="s">
        <v>86</v>
      </c>
      <c r="M13" s="122" t="s">
        <v>51</v>
      </c>
      <c r="N13" s="77">
        <f>1/7</f>
        <v>0.14285714285714285</v>
      </c>
      <c r="O13" s="99">
        <f>0.5/7</f>
        <v>7.1428571428571425E-2</v>
      </c>
      <c r="P13" s="116" t="s">
        <v>87</v>
      </c>
      <c r="Q13" s="117"/>
      <c r="R13" s="98">
        <f t="shared" si="0"/>
        <v>0.5</v>
      </c>
      <c r="S13" s="77">
        <f>(3/7)+N13</f>
        <v>0.5714285714285714</v>
      </c>
      <c r="T13" s="99">
        <v>0.3</v>
      </c>
      <c r="U13" s="116" t="s">
        <v>87</v>
      </c>
      <c r="V13" s="117"/>
      <c r="W13" s="81">
        <f t="shared" si="3"/>
        <v>0.52500000000000002</v>
      </c>
      <c r="X13" s="77">
        <f>(3/7)+S13</f>
        <v>1</v>
      </c>
      <c r="Y13" s="112"/>
      <c r="Z13" s="113"/>
      <c r="AA13" s="101">
        <f t="shared" si="1"/>
        <v>0</v>
      </c>
      <c r="AB13" s="54"/>
      <c r="AC13" s="102">
        <f t="shared" si="2"/>
        <v>4.1999999999999997E-3</v>
      </c>
      <c r="AD13" s="103">
        <f t="shared" si="4"/>
        <v>1.7639999999999999E-2</v>
      </c>
      <c r="AE13" s="104">
        <f t="shared" si="5"/>
        <v>0</v>
      </c>
    </row>
    <row r="14" spans="1:32" ht="90" customHeight="1" thickBot="1" x14ac:dyDescent="0.3">
      <c r="B14" s="107"/>
      <c r="C14" s="107"/>
      <c r="D14" s="107"/>
      <c r="E14" s="107"/>
      <c r="F14" s="120" t="s">
        <v>88</v>
      </c>
      <c r="G14" s="121" t="s">
        <v>89</v>
      </c>
      <c r="H14" s="122" t="s">
        <v>38</v>
      </c>
      <c r="I14" s="122" t="s">
        <v>83</v>
      </c>
      <c r="J14" s="122" t="s">
        <v>90</v>
      </c>
      <c r="K14" s="122" t="s">
        <v>91</v>
      </c>
      <c r="L14" s="122" t="s">
        <v>92</v>
      </c>
      <c r="M14" s="122" t="s">
        <v>51</v>
      </c>
      <c r="N14" s="77">
        <f>20/97</f>
        <v>0.20618556701030927</v>
      </c>
      <c r="O14" s="99">
        <v>7.0000000000000007E-2</v>
      </c>
      <c r="P14" s="116" t="s">
        <v>93</v>
      </c>
      <c r="Q14" s="117"/>
      <c r="R14" s="98">
        <f t="shared" si="0"/>
        <v>0.33950000000000002</v>
      </c>
      <c r="S14" s="77">
        <f>(42/97)+N14</f>
        <v>0.63917525773195871</v>
      </c>
      <c r="T14" s="112">
        <v>0.1</v>
      </c>
      <c r="U14" s="116" t="s">
        <v>94</v>
      </c>
      <c r="V14" s="117"/>
      <c r="W14" s="81">
        <f t="shared" si="3"/>
        <v>0.15645161290322582</v>
      </c>
      <c r="X14" s="77">
        <f>(35/97)+S14</f>
        <v>1</v>
      </c>
      <c r="Y14" s="112"/>
      <c r="Z14" s="113"/>
      <c r="AA14" s="101">
        <f t="shared" si="1"/>
        <v>0</v>
      </c>
      <c r="AB14" s="54"/>
      <c r="AC14" s="102">
        <f t="shared" si="2"/>
        <v>4.1159999999999999E-3</v>
      </c>
      <c r="AD14" s="103">
        <f t="shared" si="4"/>
        <v>5.8799999999999998E-3</v>
      </c>
      <c r="AE14" s="104">
        <f t="shared" si="5"/>
        <v>0</v>
      </c>
    </row>
    <row r="15" spans="1:32" ht="93.75" customHeight="1" thickBot="1" x14ac:dyDescent="0.3">
      <c r="B15" s="107"/>
      <c r="C15" s="107"/>
      <c r="D15" s="107"/>
      <c r="E15" s="107"/>
      <c r="F15" s="93" t="s">
        <v>95</v>
      </c>
      <c r="G15" s="94" t="s">
        <v>96</v>
      </c>
      <c r="H15" s="95" t="s">
        <v>38</v>
      </c>
      <c r="I15" s="122" t="s">
        <v>83</v>
      </c>
      <c r="J15" s="95" t="s">
        <v>97</v>
      </c>
      <c r="K15" s="95" t="s">
        <v>98</v>
      </c>
      <c r="L15" s="95" t="s">
        <v>99</v>
      </c>
      <c r="M15" s="95" t="s">
        <v>100</v>
      </c>
      <c r="N15" s="77">
        <v>0.33</v>
      </c>
      <c r="O15" s="112">
        <v>0.15</v>
      </c>
      <c r="P15" s="116" t="s">
        <v>101</v>
      </c>
      <c r="Q15" s="117"/>
      <c r="R15" s="98">
        <f t="shared" si="0"/>
        <v>0.45454545454545453</v>
      </c>
      <c r="S15" s="77">
        <f>33%+N15</f>
        <v>0.66</v>
      </c>
      <c r="T15" s="112">
        <v>0.3</v>
      </c>
      <c r="U15" s="116" t="s">
        <v>102</v>
      </c>
      <c r="V15" s="117"/>
      <c r="W15" s="81">
        <f t="shared" si="3"/>
        <v>0.45454545454545453</v>
      </c>
      <c r="X15" s="77">
        <f>34%+S15</f>
        <v>1</v>
      </c>
      <c r="Y15" s="112"/>
      <c r="Z15" s="113"/>
      <c r="AA15" s="101">
        <f t="shared" si="1"/>
        <v>0</v>
      </c>
      <c r="AB15" s="54"/>
      <c r="AC15" s="102">
        <f t="shared" si="2"/>
        <v>8.8199999999999997E-3</v>
      </c>
      <c r="AD15" s="103">
        <f t="shared" si="4"/>
        <v>1.7639999999999999E-2</v>
      </c>
      <c r="AE15" s="104">
        <f t="shared" si="5"/>
        <v>0</v>
      </c>
    </row>
    <row r="16" spans="1:32" ht="225.75" customHeight="1" thickBot="1" x14ac:dyDescent="0.3">
      <c r="B16" s="114" t="s">
        <v>103</v>
      </c>
      <c r="C16" s="114" t="s">
        <v>104</v>
      </c>
      <c r="D16" s="114" t="s">
        <v>105</v>
      </c>
      <c r="E16" s="115">
        <v>0.05</v>
      </c>
      <c r="F16" s="120" t="s">
        <v>106</v>
      </c>
      <c r="G16" s="121" t="s">
        <v>107</v>
      </c>
      <c r="H16" s="122" t="s">
        <v>108</v>
      </c>
      <c r="I16" s="122" t="s">
        <v>109</v>
      </c>
      <c r="J16" s="122" t="s">
        <v>110</v>
      </c>
      <c r="K16" s="122" t="s">
        <v>111</v>
      </c>
      <c r="L16" s="122" t="s">
        <v>112</v>
      </c>
      <c r="M16" s="122" t="s">
        <v>113</v>
      </c>
      <c r="N16" s="77">
        <f>29/29</f>
        <v>1</v>
      </c>
      <c r="O16" s="99">
        <f>16/29</f>
        <v>0.55172413793103448</v>
      </c>
      <c r="P16" s="116" t="s">
        <v>114</v>
      </c>
      <c r="Q16" s="117"/>
      <c r="R16" s="98">
        <f t="shared" si="0"/>
        <v>0.55172413793103448</v>
      </c>
      <c r="S16" s="77">
        <f>N16</f>
        <v>1</v>
      </c>
      <c r="T16" s="99">
        <f>(16+12)/29</f>
        <v>0.96551724137931039</v>
      </c>
      <c r="U16" s="116" t="s">
        <v>115</v>
      </c>
      <c r="V16" s="117"/>
      <c r="W16" s="81">
        <f t="shared" si="3"/>
        <v>0.96551724137931039</v>
      </c>
      <c r="X16" s="77">
        <f>+S16</f>
        <v>1</v>
      </c>
      <c r="Y16" s="112"/>
      <c r="Z16" s="113"/>
      <c r="AA16" s="101">
        <f t="shared" si="1"/>
        <v>0</v>
      </c>
      <c r="AB16" s="54"/>
      <c r="AC16" s="102">
        <f t="shared" si="2"/>
        <v>3.2441379310344826E-2</v>
      </c>
      <c r="AD16" s="103">
        <f t="shared" si="4"/>
        <v>5.6772413793103452E-2</v>
      </c>
      <c r="AE16" s="104">
        <f t="shared" si="5"/>
        <v>0</v>
      </c>
    </row>
    <row r="17" spans="1:32" ht="174.75" customHeight="1" thickBot="1" x14ac:dyDescent="0.3">
      <c r="B17" s="107"/>
      <c r="C17" s="107"/>
      <c r="D17" s="107"/>
      <c r="E17" s="107"/>
      <c r="F17" s="120" t="s">
        <v>116</v>
      </c>
      <c r="G17" s="121" t="s">
        <v>117</v>
      </c>
      <c r="H17" s="122" t="s">
        <v>108</v>
      </c>
      <c r="I17" s="122" t="s">
        <v>109</v>
      </c>
      <c r="J17" s="122" t="s">
        <v>118</v>
      </c>
      <c r="K17" s="122" t="s">
        <v>119</v>
      </c>
      <c r="L17" s="122" t="s">
        <v>120</v>
      </c>
      <c r="M17" s="122" t="s">
        <v>67</v>
      </c>
      <c r="N17" s="77">
        <f>2/10</f>
        <v>0.2</v>
      </c>
      <c r="O17" s="99">
        <f>2/10</f>
        <v>0.2</v>
      </c>
      <c r="P17" s="124" t="s">
        <v>121</v>
      </c>
      <c r="Q17" s="125"/>
      <c r="R17" s="98">
        <f t="shared" si="0"/>
        <v>1</v>
      </c>
      <c r="S17" s="77">
        <f>(4/10)+N17</f>
        <v>0.60000000000000009</v>
      </c>
      <c r="T17" s="99">
        <f>(2+3)/10</f>
        <v>0.5</v>
      </c>
      <c r="U17" s="124" t="s">
        <v>122</v>
      </c>
      <c r="V17" s="125"/>
      <c r="W17" s="81">
        <f t="shared" si="3"/>
        <v>0.83333333333333326</v>
      </c>
      <c r="X17" s="77">
        <f>(4/10)+S17</f>
        <v>1</v>
      </c>
      <c r="Y17" s="112"/>
      <c r="Z17" s="113"/>
      <c r="AA17" s="101">
        <f t="shared" si="1"/>
        <v>0</v>
      </c>
      <c r="AB17" s="54"/>
      <c r="AC17" s="102">
        <f t="shared" si="2"/>
        <v>1.176E-2</v>
      </c>
      <c r="AD17" s="103">
        <f t="shared" si="4"/>
        <v>2.9399999999999999E-2</v>
      </c>
      <c r="AE17" s="104">
        <f t="shared" si="5"/>
        <v>0</v>
      </c>
    </row>
    <row r="18" spans="1:32" ht="138" customHeight="1" thickBot="1" x14ac:dyDescent="0.3">
      <c r="B18" s="107"/>
      <c r="C18" s="107"/>
      <c r="D18" s="107"/>
      <c r="E18" s="107"/>
      <c r="F18" s="120" t="s">
        <v>123</v>
      </c>
      <c r="G18" s="121" t="s">
        <v>124</v>
      </c>
      <c r="H18" s="122" t="s">
        <v>108</v>
      </c>
      <c r="I18" s="122" t="s">
        <v>109</v>
      </c>
      <c r="J18" s="122" t="s">
        <v>125</v>
      </c>
      <c r="K18" s="122" t="s">
        <v>119</v>
      </c>
      <c r="L18" s="122" t="s">
        <v>120</v>
      </c>
      <c r="M18" s="122" t="s">
        <v>67</v>
      </c>
      <c r="N18" s="77">
        <f>2/5</f>
        <v>0.4</v>
      </c>
      <c r="O18" s="99">
        <f>1/5</f>
        <v>0.2</v>
      </c>
      <c r="P18" s="124" t="s">
        <v>126</v>
      </c>
      <c r="Q18" s="125"/>
      <c r="R18" s="98">
        <f t="shared" si="0"/>
        <v>0.5</v>
      </c>
      <c r="S18" s="77">
        <f>(1/5)+N18</f>
        <v>0.60000000000000009</v>
      </c>
      <c r="T18" s="112">
        <f>(1+0.5)/5</f>
        <v>0.3</v>
      </c>
      <c r="U18" s="124" t="s">
        <v>127</v>
      </c>
      <c r="V18" s="125"/>
      <c r="W18" s="81">
        <f t="shared" si="3"/>
        <v>0.49999999999999989</v>
      </c>
      <c r="X18" s="77">
        <f>(2/5)+S18</f>
        <v>1</v>
      </c>
      <c r="Y18" s="112"/>
      <c r="Z18" s="113"/>
      <c r="AA18" s="101">
        <f t="shared" si="1"/>
        <v>0</v>
      </c>
      <c r="AB18" s="54"/>
      <c r="AC18" s="102">
        <f t="shared" si="2"/>
        <v>1.176E-2</v>
      </c>
      <c r="AD18" s="103">
        <f t="shared" si="4"/>
        <v>1.7639999999999999E-2</v>
      </c>
      <c r="AE18" s="104">
        <f t="shared" si="5"/>
        <v>0</v>
      </c>
    </row>
    <row r="19" spans="1:32" ht="97.5" customHeight="1" thickBot="1" x14ac:dyDescent="0.3">
      <c r="B19" s="126"/>
      <c r="C19" s="126"/>
      <c r="D19" s="126"/>
      <c r="E19" s="126"/>
      <c r="F19" s="93" t="s">
        <v>128</v>
      </c>
      <c r="G19" s="94" t="s">
        <v>129</v>
      </c>
      <c r="H19" s="95" t="s">
        <v>130</v>
      </c>
      <c r="I19" s="95" t="s">
        <v>131</v>
      </c>
      <c r="J19" s="127" t="s">
        <v>132</v>
      </c>
      <c r="K19" s="95" t="s">
        <v>133</v>
      </c>
      <c r="L19" s="95" t="s">
        <v>134</v>
      </c>
      <c r="M19" s="95" t="s">
        <v>135</v>
      </c>
      <c r="N19" s="77">
        <v>0.33</v>
      </c>
      <c r="O19" s="99">
        <v>0.33</v>
      </c>
      <c r="P19" s="116" t="s">
        <v>136</v>
      </c>
      <c r="Q19" s="117"/>
      <c r="R19" s="98">
        <f t="shared" si="0"/>
        <v>1</v>
      </c>
      <c r="S19" s="77">
        <f>33%+N19</f>
        <v>0.66</v>
      </c>
      <c r="T19" s="99">
        <v>0.66</v>
      </c>
      <c r="U19" s="128" t="s">
        <v>137</v>
      </c>
      <c r="V19" s="129"/>
      <c r="W19" s="81">
        <f t="shared" si="3"/>
        <v>1</v>
      </c>
      <c r="X19" s="77">
        <f>34%+S19</f>
        <v>1</v>
      </c>
      <c r="Y19" s="112"/>
      <c r="Z19" s="113"/>
      <c r="AA19" s="101">
        <f t="shared" si="1"/>
        <v>0</v>
      </c>
      <c r="AB19" s="54"/>
      <c r="AC19" s="102">
        <f t="shared" si="2"/>
        <v>1.9404000000000001E-2</v>
      </c>
      <c r="AD19" s="103">
        <f t="shared" si="4"/>
        <v>3.8808000000000002E-2</v>
      </c>
      <c r="AE19" s="104">
        <f t="shared" si="5"/>
        <v>0</v>
      </c>
    </row>
    <row r="20" spans="1:32" ht="69.75" customHeight="1" thickBot="1" x14ac:dyDescent="0.3">
      <c r="B20" s="126"/>
      <c r="C20" s="126"/>
      <c r="D20" s="126"/>
      <c r="E20" s="126"/>
      <c r="F20" s="120" t="s">
        <v>138</v>
      </c>
      <c r="G20" s="130" t="s">
        <v>139</v>
      </c>
      <c r="H20" s="122" t="s">
        <v>140</v>
      </c>
      <c r="I20" s="122" t="s">
        <v>141</v>
      </c>
      <c r="J20" s="122" t="s">
        <v>142</v>
      </c>
      <c r="K20" s="122" t="s">
        <v>143</v>
      </c>
      <c r="L20" s="122" t="s">
        <v>144</v>
      </c>
      <c r="M20" s="122" t="s">
        <v>145</v>
      </c>
      <c r="N20" s="77">
        <v>0.66</v>
      </c>
      <c r="O20" s="131">
        <v>0.26</v>
      </c>
      <c r="P20" s="96" t="s">
        <v>146</v>
      </c>
      <c r="Q20" s="97"/>
      <c r="R20" s="98">
        <f t="shared" si="0"/>
        <v>0.39393939393939392</v>
      </c>
      <c r="S20" s="132">
        <v>0.91</v>
      </c>
      <c r="T20" s="99">
        <v>0.76</v>
      </c>
      <c r="U20" s="116" t="s">
        <v>147</v>
      </c>
      <c r="V20" s="117"/>
      <c r="W20" s="81">
        <f t="shared" si="3"/>
        <v>0.8351648351648352</v>
      </c>
      <c r="X20" s="132">
        <v>1</v>
      </c>
      <c r="Y20" s="112"/>
      <c r="Z20" s="113"/>
      <c r="AA20" s="101">
        <f t="shared" si="1"/>
        <v>0</v>
      </c>
      <c r="AB20" s="54"/>
      <c r="AC20" s="102">
        <f t="shared" si="2"/>
        <v>1.5288E-2</v>
      </c>
      <c r="AD20" s="103">
        <f t="shared" si="4"/>
        <v>4.4687999999999999E-2</v>
      </c>
      <c r="AE20" s="104">
        <f t="shared" si="5"/>
        <v>0</v>
      </c>
    </row>
    <row r="21" spans="1:32" ht="117.75" customHeight="1" x14ac:dyDescent="0.25">
      <c r="A21" s="91"/>
      <c r="B21" s="133" t="s">
        <v>148</v>
      </c>
      <c r="C21" s="133" t="s">
        <v>149</v>
      </c>
      <c r="D21" s="133" t="s">
        <v>150</v>
      </c>
      <c r="E21" s="133">
        <v>0.55000000000000004</v>
      </c>
      <c r="F21" s="93" t="s">
        <v>151</v>
      </c>
      <c r="G21" s="94" t="s">
        <v>152</v>
      </c>
      <c r="H21" s="134" t="s">
        <v>140</v>
      </c>
      <c r="I21" s="134" t="s">
        <v>141</v>
      </c>
      <c r="J21" s="95" t="s">
        <v>153</v>
      </c>
      <c r="K21" s="95" t="s">
        <v>154</v>
      </c>
      <c r="L21" s="95" t="s">
        <v>155</v>
      </c>
      <c r="M21" s="95" t="s">
        <v>156</v>
      </c>
      <c r="N21" s="77">
        <f>5/39</f>
        <v>0.12820512820512819</v>
      </c>
      <c r="O21" s="99">
        <f>3/39</f>
        <v>7.6923076923076927E-2</v>
      </c>
      <c r="P21" s="135" t="s">
        <v>157</v>
      </c>
      <c r="Q21" s="136"/>
      <c r="R21" s="98">
        <f t="shared" si="0"/>
        <v>0.60000000000000009</v>
      </c>
      <c r="S21" s="77">
        <f>(5/39)+N21</f>
        <v>0.25641025641025639</v>
      </c>
      <c r="T21" s="84">
        <f>(9+3)/39</f>
        <v>0.30769230769230771</v>
      </c>
      <c r="U21" s="111" t="s">
        <v>158</v>
      </c>
      <c r="V21" s="137"/>
      <c r="W21" s="81">
        <f t="shared" si="3"/>
        <v>1.2000000000000002</v>
      </c>
      <c r="X21" s="77">
        <f>(29/39)+S21</f>
        <v>1</v>
      </c>
      <c r="Y21" s="112"/>
      <c r="Z21" s="113"/>
      <c r="AA21" s="101">
        <f t="shared" si="1"/>
        <v>0</v>
      </c>
      <c r="AB21" s="54"/>
      <c r="AC21" s="102">
        <f t="shared" si="2"/>
        <v>4.5230769230769231E-3</v>
      </c>
      <c r="AD21" s="103">
        <f t="shared" si="4"/>
        <v>1.8092307692307692E-2</v>
      </c>
      <c r="AE21" s="104">
        <f t="shared" si="5"/>
        <v>0</v>
      </c>
    </row>
    <row r="22" spans="1:32" ht="78.75" customHeight="1" x14ac:dyDescent="0.25">
      <c r="B22" s="138" t="s">
        <v>159</v>
      </c>
      <c r="C22" s="138" t="s">
        <v>160</v>
      </c>
      <c r="D22" s="138" t="s">
        <v>161</v>
      </c>
      <c r="E22" s="139" t="s">
        <v>162</v>
      </c>
      <c r="F22" s="120" t="s">
        <v>163</v>
      </c>
      <c r="G22" s="121" t="s">
        <v>164</v>
      </c>
      <c r="H22" s="122" t="s">
        <v>165</v>
      </c>
      <c r="I22" s="122" t="s">
        <v>166</v>
      </c>
      <c r="J22" s="122" t="s">
        <v>167</v>
      </c>
      <c r="K22" s="122" t="s">
        <v>168</v>
      </c>
      <c r="L22" s="122" t="s">
        <v>169</v>
      </c>
      <c r="M22" s="122" t="s">
        <v>67</v>
      </c>
      <c r="N22" s="77">
        <f>1/33</f>
        <v>3.0303030303030304E-2</v>
      </c>
      <c r="O22" s="99">
        <v>0</v>
      </c>
      <c r="P22" s="116" t="s">
        <v>170</v>
      </c>
      <c r="Q22" s="117"/>
      <c r="R22" s="98">
        <f t="shared" si="0"/>
        <v>0</v>
      </c>
      <c r="S22" s="77">
        <f>(6/33)+N22</f>
        <v>0.21212121212121213</v>
      </c>
      <c r="T22" s="99">
        <f>(6/33)+O22</f>
        <v>0.18181818181818182</v>
      </c>
      <c r="U22" s="116" t="s">
        <v>171</v>
      </c>
      <c r="V22" s="117"/>
      <c r="W22" s="81">
        <f t="shared" si="3"/>
        <v>0.8571428571428571</v>
      </c>
      <c r="X22" s="77">
        <f>(26/33)+S22</f>
        <v>1</v>
      </c>
      <c r="Y22" s="112"/>
      <c r="Z22" s="113"/>
      <c r="AA22" s="101">
        <f t="shared" si="1"/>
        <v>0</v>
      </c>
      <c r="AB22" s="54"/>
      <c r="AC22" s="102">
        <f t="shared" si="2"/>
        <v>0</v>
      </c>
      <c r="AD22" s="103">
        <f t="shared" si="4"/>
        <v>1.0690909090909091E-2</v>
      </c>
      <c r="AE22" s="104">
        <f t="shared" si="5"/>
        <v>0</v>
      </c>
    </row>
    <row r="23" spans="1:32" ht="104.25" customHeight="1" thickBot="1" x14ac:dyDescent="0.3">
      <c r="B23" s="140" t="s">
        <v>172</v>
      </c>
      <c r="C23" s="140" t="s">
        <v>173</v>
      </c>
      <c r="D23" s="140" t="s">
        <v>174</v>
      </c>
      <c r="E23" s="141" t="s">
        <v>175</v>
      </c>
      <c r="F23" s="93" t="s">
        <v>176</v>
      </c>
      <c r="G23" s="94" t="s">
        <v>177</v>
      </c>
      <c r="H23" s="95" t="s">
        <v>140</v>
      </c>
      <c r="I23" s="95" t="s">
        <v>178</v>
      </c>
      <c r="J23" s="122" t="s">
        <v>179</v>
      </c>
      <c r="K23" s="122" t="s">
        <v>168</v>
      </c>
      <c r="L23" s="122" t="s">
        <v>169</v>
      </c>
      <c r="M23" s="122" t="s">
        <v>67</v>
      </c>
      <c r="N23" s="77">
        <f>23/88</f>
        <v>0.26136363636363635</v>
      </c>
      <c r="O23" s="99">
        <f>22/88</f>
        <v>0.25</v>
      </c>
      <c r="P23" s="116" t="s">
        <v>180</v>
      </c>
      <c r="Q23" s="117"/>
      <c r="R23" s="98">
        <f t="shared" si="0"/>
        <v>0.95652173913043481</v>
      </c>
      <c r="S23" s="77">
        <f>(35/88)+N23</f>
        <v>0.65909090909090906</v>
      </c>
      <c r="T23" s="99">
        <f>(36+22)/88</f>
        <v>0.65909090909090906</v>
      </c>
      <c r="U23" s="116" t="s">
        <v>181</v>
      </c>
      <c r="V23" s="117"/>
      <c r="W23" s="81">
        <f t="shared" si="3"/>
        <v>1</v>
      </c>
      <c r="X23" s="77">
        <f>(30/88)+S23</f>
        <v>1</v>
      </c>
      <c r="Y23" s="112"/>
      <c r="Z23" s="113"/>
      <c r="AA23" s="101">
        <f t="shared" si="1"/>
        <v>0</v>
      </c>
      <c r="AB23" s="54"/>
      <c r="AC23" s="102">
        <f t="shared" si="2"/>
        <v>1.47E-2</v>
      </c>
      <c r="AD23" s="103">
        <f t="shared" si="4"/>
        <v>3.8754545454545451E-2</v>
      </c>
      <c r="AE23" s="104">
        <f t="shared" si="5"/>
        <v>0</v>
      </c>
    </row>
    <row r="24" spans="1:32" ht="222" customHeight="1" thickBot="1" x14ac:dyDescent="0.3">
      <c r="B24" s="118" t="s">
        <v>172</v>
      </c>
      <c r="C24" s="114" t="s">
        <v>182</v>
      </c>
      <c r="D24" s="114" t="s">
        <v>183</v>
      </c>
      <c r="E24" s="142">
        <v>0.42</v>
      </c>
      <c r="F24" s="143" t="s">
        <v>184</v>
      </c>
      <c r="G24" s="144" t="s">
        <v>185</v>
      </c>
      <c r="H24" s="95" t="s">
        <v>140</v>
      </c>
      <c r="I24" s="95" t="s">
        <v>178</v>
      </c>
      <c r="J24" s="122" t="s">
        <v>186</v>
      </c>
      <c r="K24" s="95" t="s">
        <v>183</v>
      </c>
      <c r="L24" s="122" t="s">
        <v>187</v>
      </c>
      <c r="M24" s="122" t="s">
        <v>67</v>
      </c>
      <c r="N24" s="145">
        <f>7/53</f>
        <v>0.13207547169811321</v>
      </c>
      <c r="O24" s="146">
        <f>7/53</f>
        <v>0.13207547169811321</v>
      </c>
      <c r="P24" s="147" t="s">
        <v>188</v>
      </c>
      <c r="Q24" s="148"/>
      <c r="R24" s="98">
        <f t="shared" si="0"/>
        <v>1</v>
      </c>
      <c r="S24" s="149">
        <f>(18/53)+N24</f>
        <v>0.47169811320754718</v>
      </c>
      <c r="T24" s="146">
        <f>(15/53)+O24</f>
        <v>0.41509433962264153</v>
      </c>
      <c r="U24" s="147" t="s">
        <v>189</v>
      </c>
      <c r="V24" s="148"/>
      <c r="W24" s="81">
        <f t="shared" si="3"/>
        <v>0.88</v>
      </c>
      <c r="X24" s="150">
        <f>(51/76)+33%</f>
        <v>1.0010526315789474</v>
      </c>
      <c r="Y24" s="151"/>
      <c r="Z24" s="152"/>
      <c r="AA24" s="101">
        <f t="shared" si="1"/>
        <v>0</v>
      </c>
      <c r="AB24" s="153"/>
      <c r="AC24" s="102">
        <f t="shared" si="2"/>
        <v>7.7660377358490561E-3</v>
      </c>
      <c r="AD24" s="103">
        <f t="shared" si="4"/>
        <v>2.4407547169811323E-2</v>
      </c>
      <c r="AE24" s="104">
        <f t="shared" si="5"/>
        <v>0</v>
      </c>
    </row>
    <row r="25" spans="1:32" ht="15.75" thickTop="1" x14ac:dyDescent="0.25">
      <c r="R25" s="16"/>
    </row>
    <row r="26" spans="1:32" x14ac:dyDescent="0.25">
      <c r="R26" s="16"/>
    </row>
    <row r="27" spans="1:32" s="16" customFormat="1" x14ac:dyDescent="0.25">
      <c r="A27"/>
      <c r="B27"/>
      <c r="C27"/>
      <c r="D27"/>
      <c r="E27"/>
      <c r="F27"/>
      <c r="G27" s="1"/>
      <c r="H27"/>
      <c r="I27"/>
      <c r="J27"/>
      <c r="L27" s="154"/>
      <c r="T27" s="155"/>
      <c r="U27" s="155"/>
      <c r="V27" s="155"/>
      <c r="Y27"/>
      <c r="Z27"/>
      <c r="AF27"/>
    </row>
    <row r="28" spans="1:32" x14ac:dyDescent="0.25">
      <c r="R28" s="16"/>
    </row>
    <row r="29" spans="1:32" x14ac:dyDescent="0.25">
      <c r="R29" s="16"/>
    </row>
    <row r="30" spans="1:32" x14ac:dyDescent="0.25">
      <c r="R30" s="16"/>
    </row>
    <row r="31" spans="1:32" x14ac:dyDescent="0.25">
      <c r="R31" s="16"/>
    </row>
    <row r="32" spans="1:32" s="16" customFormat="1" x14ac:dyDescent="0.25">
      <c r="A32"/>
      <c r="B32"/>
      <c r="C32"/>
      <c r="D32"/>
      <c r="E32"/>
      <c r="F32"/>
      <c r="G32" s="1"/>
      <c r="H32"/>
      <c r="I32"/>
      <c r="J32"/>
      <c r="L32" s="154"/>
      <c r="T32"/>
      <c r="U32"/>
      <c r="V32"/>
      <c r="Y32"/>
      <c r="Z32"/>
      <c r="AF32"/>
    </row>
    <row r="33" spans="1:32" s="16" customFormat="1" x14ac:dyDescent="0.25">
      <c r="A33"/>
      <c r="B33"/>
      <c r="C33"/>
      <c r="D33"/>
      <c r="E33"/>
      <c r="F33"/>
      <c r="G33" s="1"/>
      <c r="H33"/>
      <c r="I33"/>
      <c r="J33"/>
      <c r="L33" s="154"/>
      <c r="T33"/>
      <c r="U33"/>
      <c r="V33"/>
      <c r="Y33"/>
      <c r="Z33"/>
      <c r="AF33"/>
    </row>
    <row r="34" spans="1:32" s="16" customFormat="1" x14ac:dyDescent="0.25">
      <c r="A34"/>
      <c r="B34"/>
      <c r="C34"/>
      <c r="D34"/>
      <c r="E34"/>
      <c r="F34"/>
      <c r="G34" s="1"/>
      <c r="H34"/>
      <c r="I34"/>
      <c r="J34"/>
      <c r="L34" s="154"/>
      <c r="T34"/>
      <c r="U34"/>
      <c r="V34"/>
      <c r="Y34"/>
      <c r="Z34"/>
      <c r="AF34"/>
    </row>
    <row r="35" spans="1:32" s="16" customFormat="1" x14ac:dyDescent="0.25">
      <c r="A35"/>
      <c r="B35"/>
      <c r="C35"/>
      <c r="D35"/>
      <c r="E35"/>
      <c r="F35"/>
      <c r="G35" s="1"/>
      <c r="H35"/>
      <c r="I35"/>
      <c r="J35"/>
      <c r="L35" s="154"/>
      <c r="T35"/>
      <c r="U35"/>
      <c r="V35"/>
      <c r="Y35"/>
      <c r="Z35"/>
      <c r="AF35"/>
    </row>
    <row r="36" spans="1:32" s="16" customFormat="1" x14ac:dyDescent="0.25">
      <c r="A36"/>
      <c r="B36"/>
      <c r="C36"/>
      <c r="D36"/>
      <c r="E36"/>
      <c r="F36"/>
      <c r="G36" s="1"/>
      <c r="H36"/>
      <c r="I36"/>
      <c r="J36"/>
      <c r="L36" s="154"/>
      <c r="T36"/>
      <c r="U36"/>
      <c r="V36"/>
      <c r="Y36"/>
      <c r="Z36"/>
      <c r="AF36"/>
    </row>
    <row r="37" spans="1:32" s="16" customFormat="1" x14ac:dyDescent="0.25">
      <c r="A37"/>
      <c r="B37"/>
      <c r="C37"/>
      <c r="D37"/>
      <c r="E37"/>
      <c r="F37"/>
      <c r="G37" s="1"/>
      <c r="H37"/>
      <c r="I37"/>
      <c r="J37"/>
      <c r="L37" s="154"/>
      <c r="T37"/>
      <c r="U37"/>
      <c r="V37"/>
      <c r="Y37"/>
      <c r="Z37"/>
      <c r="AF37"/>
    </row>
    <row r="38" spans="1:32" s="16" customFormat="1" x14ac:dyDescent="0.25">
      <c r="A38"/>
      <c r="B38"/>
      <c r="C38"/>
      <c r="D38"/>
      <c r="E38"/>
      <c r="F38"/>
      <c r="G38" s="1"/>
      <c r="H38"/>
      <c r="I38"/>
      <c r="J38"/>
      <c r="L38" s="154"/>
      <c r="T38"/>
      <c r="U38"/>
      <c r="V38"/>
      <c r="Y38"/>
      <c r="Z38"/>
      <c r="AF38"/>
    </row>
    <row r="39" spans="1:32" s="16" customFormat="1" x14ac:dyDescent="0.25">
      <c r="A39"/>
      <c r="B39"/>
      <c r="C39"/>
      <c r="D39"/>
      <c r="E39"/>
      <c r="F39"/>
      <c r="G39" s="1"/>
      <c r="H39"/>
      <c r="I39"/>
      <c r="J39"/>
      <c r="L39" s="154"/>
      <c r="T39"/>
      <c r="U39"/>
      <c r="V39"/>
      <c r="Y39"/>
      <c r="Z39"/>
      <c r="AF39"/>
    </row>
    <row r="40" spans="1:32" s="16" customFormat="1" x14ac:dyDescent="0.25">
      <c r="A40"/>
      <c r="B40"/>
      <c r="C40"/>
      <c r="D40"/>
      <c r="E40"/>
      <c r="F40"/>
      <c r="G40" s="1"/>
      <c r="H40"/>
      <c r="I40"/>
      <c r="J40"/>
      <c r="L40" s="154"/>
      <c r="T40"/>
      <c r="U40"/>
      <c r="V40"/>
      <c r="Y40"/>
      <c r="Z40"/>
      <c r="AF40"/>
    </row>
    <row r="41" spans="1:32" s="16" customFormat="1" x14ac:dyDescent="0.25">
      <c r="A41"/>
      <c r="B41"/>
      <c r="C41"/>
      <c r="D41"/>
      <c r="E41"/>
      <c r="F41"/>
      <c r="G41" s="1"/>
      <c r="H41"/>
      <c r="I41"/>
      <c r="J41"/>
      <c r="L41" s="154"/>
      <c r="T41"/>
      <c r="U41"/>
      <c r="V41"/>
      <c r="Y41"/>
      <c r="Z41"/>
      <c r="AF41"/>
    </row>
    <row r="42" spans="1:32" s="16" customFormat="1" x14ac:dyDescent="0.25">
      <c r="A42"/>
      <c r="B42"/>
      <c r="C42"/>
      <c r="D42"/>
      <c r="E42"/>
      <c r="F42"/>
      <c r="G42" s="1"/>
      <c r="H42"/>
      <c r="I42"/>
      <c r="J42"/>
      <c r="L42" s="154"/>
      <c r="T42"/>
      <c r="U42"/>
      <c r="V42"/>
      <c r="Y42"/>
      <c r="Z42"/>
      <c r="AF42"/>
    </row>
    <row r="43" spans="1:32" s="16" customFormat="1" x14ac:dyDescent="0.25">
      <c r="A43"/>
      <c r="B43"/>
      <c r="C43"/>
      <c r="D43"/>
      <c r="E43"/>
      <c r="F43"/>
      <c r="G43" s="1"/>
      <c r="H43"/>
      <c r="I43"/>
      <c r="J43"/>
      <c r="L43" s="154"/>
      <c r="T43"/>
      <c r="U43"/>
      <c r="V43"/>
      <c r="Y43"/>
      <c r="Z43"/>
      <c r="AF43"/>
    </row>
    <row r="44" spans="1:32" s="16" customFormat="1" x14ac:dyDescent="0.25">
      <c r="A44"/>
      <c r="B44"/>
      <c r="C44"/>
      <c r="D44"/>
      <c r="E44"/>
      <c r="F44"/>
      <c r="G44" s="1"/>
      <c r="H44"/>
      <c r="I44"/>
      <c r="J44"/>
      <c r="L44" s="154"/>
      <c r="T44"/>
      <c r="U44"/>
      <c r="V44"/>
      <c r="Y44"/>
      <c r="Z44"/>
      <c r="AF44"/>
    </row>
    <row r="45" spans="1:32" s="16" customFormat="1" x14ac:dyDescent="0.25">
      <c r="A45"/>
      <c r="B45"/>
      <c r="C45"/>
      <c r="D45"/>
      <c r="E45"/>
      <c r="F45"/>
      <c r="G45" s="1"/>
      <c r="H45"/>
      <c r="I45"/>
      <c r="J45"/>
      <c r="L45" s="154"/>
      <c r="T45"/>
      <c r="U45"/>
      <c r="V45"/>
      <c r="Y45"/>
      <c r="Z45"/>
      <c r="AF45"/>
    </row>
    <row r="46" spans="1:32" s="16" customFormat="1" x14ac:dyDescent="0.25">
      <c r="A46"/>
      <c r="B46"/>
      <c r="C46"/>
      <c r="D46"/>
      <c r="E46"/>
      <c r="F46"/>
      <c r="G46" s="1"/>
      <c r="H46"/>
      <c r="I46"/>
      <c r="J46"/>
      <c r="L46" s="154"/>
      <c r="T46"/>
      <c r="U46"/>
      <c r="V46"/>
      <c r="Y46"/>
      <c r="Z46"/>
      <c r="AF46"/>
    </row>
    <row r="47" spans="1:32" s="16" customFormat="1" x14ac:dyDescent="0.25">
      <c r="A47"/>
      <c r="B47"/>
      <c r="C47"/>
      <c r="D47"/>
      <c r="E47"/>
      <c r="F47"/>
      <c r="G47" s="1"/>
      <c r="H47"/>
      <c r="I47"/>
      <c r="J47"/>
      <c r="L47" s="154"/>
      <c r="T47"/>
      <c r="U47"/>
      <c r="V47"/>
      <c r="Y47"/>
      <c r="Z47"/>
      <c r="AF47"/>
    </row>
  </sheetData>
  <sheetProtection formatCells="0" formatColumns="0" formatRows="0"/>
  <mergeCells count="69">
    <mergeCell ref="P23:Q23"/>
    <mergeCell ref="U23:V23"/>
    <mergeCell ref="P24:Q24"/>
    <mergeCell ref="U24:V24"/>
    <mergeCell ref="P20:Q20"/>
    <mergeCell ref="U20:V20"/>
    <mergeCell ref="P21:Q21"/>
    <mergeCell ref="U21:V21"/>
    <mergeCell ref="P22:Q22"/>
    <mergeCell ref="U22:V22"/>
    <mergeCell ref="P17:Q17"/>
    <mergeCell ref="U17:V17"/>
    <mergeCell ref="P18:Q18"/>
    <mergeCell ref="U18:V18"/>
    <mergeCell ref="P19:Q19"/>
    <mergeCell ref="U19:V19"/>
    <mergeCell ref="P14:Q14"/>
    <mergeCell ref="U14:V14"/>
    <mergeCell ref="P15:Q15"/>
    <mergeCell ref="U15:V15"/>
    <mergeCell ref="P16:Q16"/>
    <mergeCell ref="U16:V16"/>
    <mergeCell ref="P11:Q11"/>
    <mergeCell ref="U11:V11"/>
    <mergeCell ref="P12:Q12"/>
    <mergeCell ref="U12:V12"/>
    <mergeCell ref="P13:Q13"/>
    <mergeCell ref="U13:V13"/>
    <mergeCell ref="P8:Q8"/>
    <mergeCell ref="U8:V8"/>
    <mergeCell ref="P9:Q9"/>
    <mergeCell ref="U9:V9"/>
    <mergeCell ref="P10:Q10"/>
    <mergeCell ref="U10:V10"/>
    <mergeCell ref="X6:X7"/>
    <mergeCell ref="Y6:Y7"/>
    <mergeCell ref="Z6:Z7"/>
    <mergeCell ref="AA6:AA7"/>
    <mergeCell ref="AB6:AB24"/>
    <mergeCell ref="AC6:AE6"/>
    <mergeCell ref="P6:Q7"/>
    <mergeCell ref="R6:R7"/>
    <mergeCell ref="S6:S7"/>
    <mergeCell ref="T6:T7"/>
    <mergeCell ref="U6:V7"/>
    <mergeCell ref="W6:W7"/>
    <mergeCell ref="J6:J7"/>
    <mergeCell ref="K6:K7"/>
    <mergeCell ref="L6:L7"/>
    <mergeCell ref="M6:M7"/>
    <mergeCell ref="N6:N7"/>
    <mergeCell ref="O6:O7"/>
    <mergeCell ref="A5:AE5"/>
    <mergeCell ref="A6:A7"/>
    <mergeCell ref="B6:B7"/>
    <mergeCell ref="C6:C7"/>
    <mergeCell ref="D6:D7"/>
    <mergeCell ref="E6:E7"/>
    <mergeCell ref="F6:F7"/>
    <mergeCell ref="G6:G7"/>
    <mergeCell ref="H6:H7"/>
    <mergeCell ref="I6:I7"/>
    <mergeCell ref="F2:F4"/>
    <mergeCell ref="G2:G4"/>
    <mergeCell ref="H2:J4"/>
    <mergeCell ref="K2:L4"/>
    <mergeCell ref="M2:N2"/>
    <mergeCell ref="M3:N3"/>
    <mergeCell ref="M4:N4"/>
  </mergeCells>
  <conditionalFormatting sqref="R8:R24">
    <cfRule type="cellIs" dxfId="18" priority="17" operator="lessThan">
      <formula>0.3</formula>
    </cfRule>
    <cfRule type="cellIs" dxfId="17" priority="18" operator="between">
      <formula>0.651</formula>
      <formula>0.98</formula>
    </cfRule>
    <cfRule type="cellIs" dxfId="16" priority="19" operator="greaterThanOrEqual">
      <formula>0.98</formula>
    </cfRule>
  </conditionalFormatting>
  <conditionalFormatting sqref="AA8:AA13 R8:R24">
    <cfRule type="cellIs" dxfId="15" priority="16" operator="between">
      <formula>0.301</formula>
      <formula>0.65</formula>
    </cfRule>
  </conditionalFormatting>
  <conditionalFormatting sqref="AA8:AA13">
    <cfRule type="cellIs" dxfId="14" priority="13" operator="lessThan">
      <formula>0.3</formula>
    </cfRule>
    <cfRule type="cellIs" dxfId="13" priority="14" operator="between">
      <formula>0.651</formula>
      <formula>0.97</formula>
    </cfRule>
    <cfRule type="cellIs" dxfId="12" priority="15" operator="greaterThanOrEqual">
      <formula>0.97</formula>
    </cfRule>
  </conditionalFormatting>
  <conditionalFormatting sqref="AA14:AA17">
    <cfRule type="cellIs" dxfId="11" priority="10" operator="lessThan">
      <formula>0.3</formula>
    </cfRule>
    <cfRule type="cellIs" dxfId="10" priority="11" operator="between">
      <formula>0.651</formula>
      <formula>0.97</formula>
    </cfRule>
    <cfRule type="cellIs" dxfId="9" priority="12" operator="greaterThanOrEqual">
      <formula>0.97</formula>
    </cfRule>
  </conditionalFormatting>
  <conditionalFormatting sqref="AA14:AA17">
    <cfRule type="cellIs" dxfId="8" priority="9" operator="between">
      <formula>0.301</formula>
      <formula>0.65</formula>
    </cfRule>
  </conditionalFormatting>
  <conditionalFormatting sqref="AA18:AA24">
    <cfRule type="cellIs" dxfId="7" priority="6" operator="lessThan">
      <formula>0.3</formula>
    </cfRule>
    <cfRule type="cellIs" dxfId="6" priority="7" operator="between">
      <formula>0.651</formula>
      <formula>0.97</formula>
    </cfRule>
    <cfRule type="cellIs" dxfId="5" priority="8" operator="greaterThanOrEqual">
      <formula>0.97</formula>
    </cfRule>
  </conditionalFormatting>
  <conditionalFormatting sqref="AA18:AA24">
    <cfRule type="cellIs" dxfId="4" priority="5" operator="between">
      <formula>0.301</formula>
      <formula>0.65</formula>
    </cfRule>
  </conditionalFormatting>
  <conditionalFormatting sqref="W8:W24">
    <cfRule type="cellIs" dxfId="3" priority="2" operator="lessThan">
      <formula>0.3</formula>
    </cfRule>
    <cfRule type="cellIs" dxfId="2" priority="3" operator="between">
      <formula>0.651</formula>
      <formula>0.98</formula>
    </cfRule>
    <cfRule type="cellIs" dxfId="1" priority="4" operator="greaterThanOrEqual">
      <formula>0.98</formula>
    </cfRule>
  </conditionalFormatting>
  <conditionalFormatting sqref="W8:W24">
    <cfRule type="cellIs" dxfId="0" priority="1" operator="between">
      <formula>0.301</formula>
      <formula>0.65</formula>
    </cfRule>
  </conditionalFormatting>
  <pageMargins left="0.7" right="0.7" top="0.75" bottom="0.75" header="0.3" footer="0.3"/>
  <pageSetup scale="1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Seguimiento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Kelin Julieth Galindo Briceño</dc:creator>
  <cp:lastModifiedBy>Kelin Julieth Galindo Briceño</cp:lastModifiedBy>
  <dcterms:created xsi:type="dcterms:W3CDTF">2021-11-10T15:55:21Z</dcterms:created>
  <dcterms:modified xsi:type="dcterms:W3CDTF">2021-11-10T15:55:51Z</dcterms:modified>
</cp:coreProperties>
</file>